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U:\3740国保医療課\04 国保資格・税担当\国保税\002_賦課担当\011_国保試算表\"/>
    </mc:Choice>
  </mc:AlternateContent>
  <xr:revisionPtr revIDLastSave="0" documentId="13_ncr:1_{C9F38008-88ED-47D0-9151-97F6F7F428DE}" xr6:coauthVersionLast="47" xr6:coauthVersionMax="47" xr10:uidLastSave="{00000000-0000-0000-0000-000000000000}"/>
  <bookViews>
    <workbookView xWindow="-120" yWindow="-120" windowWidth="19440" windowHeight="11520" xr2:uid="{00000000-000D-0000-FFFF-FFFF00000000}"/>
  </bookViews>
  <sheets>
    <sheet name="R08_国保税試算" sheetId="1" r:id="rId1"/>
    <sheet name="収入・所得の入力について" sheetId="2" r:id="rId2"/>
    <sheet name="□" sheetId="4" r:id="rId3"/>
    <sheet name="■" sheetId="5" r:id="rId4"/>
    <sheet name="■■" sheetId="6" r:id="rId5"/>
    <sheet name="■■■" sheetId="7" r:id="rId6"/>
  </sheets>
  <definedNames>
    <definedName name="_xlnm._FilterDatabase" localSheetId="2" hidden="1">□!$B$2:$U$12</definedName>
    <definedName name="_xlnm._FilterDatabase" localSheetId="0" hidden="1">'R08_国保税試算'!$B$20:$Z$28</definedName>
    <definedName name="_xlnm.Print_Area" localSheetId="2">□!$B$2:$I$42</definedName>
    <definedName name="_xlnm.Print_Area" localSheetId="0">'R08_国保税試算'!$B$2:$Z$51</definedName>
    <definedName name="_xlnm.Print_Area" localSheetId="1">収入・所得の入力について!$A$1:$Z$114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6" i="4" l="1"/>
  <c r="J5" i="4"/>
  <c r="S20" i="4" s="1" a="1"/>
  <c r="S20" i="4" s="1"/>
  <c r="J7" i="4"/>
  <c r="E3" i="4"/>
  <c r="M22" i="4" s="1"/>
  <c r="F3" i="4"/>
  <c r="F3" i="5" s="1"/>
  <c r="F32" i="5" s="1"/>
  <c r="I3" i="4"/>
  <c r="R23" i="4" s="1"/>
  <c r="H3" i="4"/>
  <c r="H16" i="4" s="1"/>
  <c r="D3" i="4"/>
  <c r="I4" i="4"/>
  <c r="I4" i="6" s="1"/>
  <c r="H4" i="4"/>
  <c r="H4" i="6" s="1"/>
  <c r="F4" i="4"/>
  <c r="F4" i="7" s="1"/>
  <c r="E4" i="4"/>
  <c r="E4" i="5" s="1"/>
  <c r="D4" i="4"/>
  <c r="J3" i="4"/>
  <c r="I7" i="4"/>
  <c r="I7" i="7" s="1"/>
  <c r="H7" i="4"/>
  <c r="H7" i="5" s="1"/>
  <c r="F7" i="4"/>
  <c r="E7" i="4"/>
  <c r="D7" i="4"/>
  <c r="I5" i="4"/>
  <c r="I5" i="5" s="1"/>
  <c r="H5" i="4"/>
  <c r="H5" i="7" s="1"/>
  <c r="F5" i="4"/>
  <c r="F5" i="7" s="1"/>
  <c r="E5" i="4"/>
  <c r="E5" i="6" s="1"/>
  <c r="D5" i="4"/>
  <c r="F10" i="4"/>
  <c r="H10" i="4"/>
  <c r="H10" i="7"/>
  <c r="I10" i="4"/>
  <c r="I10" i="5" s="1"/>
  <c r="E10" i="4"/>
  <c r="E10" i="7" s="1"/>
  <c r="J10" i="4"/>
  <c r="D10" i="4"/>
  <c r="D10" i="5" s="1"/>
  <c r="G41" i="7"/>
  <c r="D40" i="7"/>
  <c r="G40" i="7" s="1"/>
  <c r="G38" i="7"/>
  <c r="D38" i="7"/>
  <c r="G39" i="7" s="1"/>
  <c r="G32" i="7"/>
  <c r="C32" i="7"/>
  <c r="G31" i="7"/>
  <c r="C31" i="7"/>
  <c r="G30" i="7"/>
  <c r="D29" i="7"/>
  <c r="C26" i="7"/>
  <c r="C25" i="7"/>
  <c r="D24" i="7"/>
  <c r="C21" i="7"/>
  <c r="C20" i="7"/>
  <c r="E19" i="7"/>
  <c r="C16" i="7"/>
  <c r="C15" i="7"/>
  <c r="D14" i="7"/>
  <c r="I10" i="7"/>
  <c r="F10" i="7"/>
  <c r="I9" i="7"/>
  <c r="H9" i="7"/>
  <c r="F9" i="7"/>
  <c r="E9" i="7"/>
  <c r="D9" i="7"/>
  <c r="I4" i="7"/>
  <c r="H4" i="7"/>
  <c r="C2" i="7"/>
  <c r="B2" i="7"/>
  <c r="G41" i="6"/>
  <c r="D40" i="6"/>
  <c r="G38" i="6"/>
  <c r="D38" i="6"/>
  <c r="G39" i="6" s="1"/>
  <c r="G32" i="6"/>
  <c r="C32" i="6"/>
  <c r="G31" i="6"/>
  <c r="C31" i="6"/>
  <c r="G30" i="6"/>
  <c r="D29" i="6"/>
  <c r="C26" i="6"/>
  <c r="C25" i="6"/>
  <c r="D24" i="6"/>
  <c r="C21" i="6"/>
  <c r="C20" i="6"/>
  <c r="E19" i="6"/>
  <c r="C16" i="6"/>
  <c r="C15" i="6"/>
  <c r="D14" i="6"/>
  <c r="I10" i="6"/>
  <c r="F10" i="6"/>
  <c r="I9" i="6"/>
  <c r="H9" i="6"/>
  <c r="F9" i="6"/>
  <c r="E9" i="6"/>
  <c r="D9" i="6"/>
  <c r="H5" i="6"/>
  <c r="F5" i="6"/>
  <c r="C2" i="6"/>
  <c r="B2" i="6"/>
  <c r="G41" i="5"/>
  <c r="D40" i="5"/>
  <c r="G40" i="5" s="1"/>
  <c r="G39" i="5"/>
  <c r="G38" i="5"/>
  <c r="D38" i="5"/>
  <c r="G32" i="5"/>
  <c r="C32" i="5"/>
  <c r="G31" i="5"/>
  <c r="C31" i="5"/>
  <c r="G30" i="5"/>
  <c r="D29" i="5"/>
  <c r="C26" i="5"/>
  <c r="C25" i="5"/>
  <c r="D24" i="5"/>
  <c r="C21" i="5"/>
  <c r="C20" i="5"/>
  <c r="E19" i="5"/>
  <c r="C16" i="5"/>
  <c r="G15" i="5"/>
  <c r="C15" i="5"/>
  <c r="D14" i="5"/>
  <c r="F10" i="5"/>
  <c r="I9" i="5"/>
  <c r="H9" i="5"/>
  <c r="F9" i="5"/>
  <c r="E9" i="5"/>
  <c r="D9" i="5"/>
  <c r="I7" i="5"/>
  <c r="F5" i="5"/>
  <c r="I4" i="5"/>
  <c r="F4" i="5"/>
  <c r="C2" i="5"/>
  <c r="B2" i="5"/>
  <c r="G40" i="4"/>
  <c r="G39" i="4"/>
  <c r="G32" i="4"/>
  <c r="G31" i="4"/>
  <c r="G30" i="4"/>
  <c r="G26" i="4"/>
  <c r="O20" i="4" a="1"/>
  <c r="O20" i="4" s="1"/>
  <c r="U7" i="4"/>
  <c r="H7" i="7" l="1"/>
  <c r="H7" i="6"/>
  <c r="F31" i="4"/>
  <c r="I16" i="4"/>
  <c r="I3" i="5"/>
  <c r="I26" i="5" s="1"/>
  <c r="I31" i="4"/>
  <c r="I25" i="4"/>
  <c r="F25" i="4"/>
  <c r="H25" i="4"/>
  <c r="H31" i="4"/>
  <c r="H3" i="5"/>
  <c r="H31" i="5" s="1"/>
  <c r="Q23" i="4"/>
  <c r="O21" i="4"/>
  <c r="F8" i="4" s="1"/>
  <c r="F6" i="4" s="1"/>
  <c r="E3" i="6"/>
  <c r="E32" i="6" s="1"/>
  <c r="H3" i="7"/>
  <c r="H21" i="7" s="1"/>
  <c r="E32" i="4"/>
  <c r="F32" i="4"/>
  <c r="E3" i="7"/>
  <c r="E26" i="7" s="1"/>
  <c r="H21" i="4"/>
  <c r="F3" i="6"/>
  <c r="F31" i="6" s="1"/>
  <c r="F3" i="7"/>
  <c r="F26" i="7" s="1"/>
  <c r="I21" i="4"/>
  <c r="H32" i="4"/>
  <c r="H3" i="6"/>
  <c r="H26" i="6" s="1"/>
  <c r="M21" i="4"/>
  <c r="E8" i="4" s="1"/>
  <c r="H26" i="4"/>
  <c r="I32" i="4"/>
  <c r="I3" i="6"/>
  <c r="I26" i="6" s="1"/>
  <c r="I3" i="7"/>
  <c r="I31" i="7" s="1"/>
  <c r="M23" i="4"/>
  <c r="Q21" i="4"/>
  <c r="E31" i="4"/>
  <c r="E3" i="5"/>
  <c r="E26" i="4"/>
  <c r="Q22" i="4"/>
  <c r="F26" i="4"/>
  <c r="I26" i="4"/>
  <c r="R21" i="4"/>
  <c r="I7" i="6"/>
  <c r="I5" i="7"/>
  <c r="R22" i="4"/>
  <c r="I5" i="6"/>
  <c r="E7" i="7"/>
  <c r="P20" i="4" a="1"/>
  <c r="P20" i="4" s="1"/>
  <c r="S22" i="4"/>
  <c r="E4" i="6"/>
  <c r="E16" i="4"/>
  <c r="F16" i="4"/>
  <c r="F21" i="4"/>
  <c r="H4" i="5"/>
  <c r="F4" i="6"/>
  <c r="E4" i="7"/>
  <c r="E21" i="4"/>
  <c r="D4" i="6"/>
  <c r="D4" i="5"/>
  <c r="D4" i="7"/>
  <c r="S23" i="4"/>
  <c r="R20" i="4" a="1"/>
  <c r="R20" i="4" s="1"/>
  <c r="Q20" i="4" a="1"/>
  <c r="Q20" i="4" s="1"/>
  <c r="D7" i="5"/>
  <c r="D7" i="6"/>
  <c r="I21" i="5"/>
  <c r="I31" i="5"/>
  <c r="I25" i="5"/>
  <c r="F21" i="5"/>
  <c r="F25" i="5"/>
  <c r="L23" i="4"/>
  <c r="D3" i="6"/>
  <c r="L22" i="4"/>
  <c r="D32" i="4"/>
  <c r="D26" i="4"/>
  <c r="U9" i="4"/>
  <c r="D3" i="5"/>
  <c r="D31" i="4"/>
  <c r="D3" i="7"/>
  <c r="D32" i="7" s="1"/>
  <c r="L21" i="4"/>
  <c r="D16" i="4"/>
  <c r="D21" i="4"/>
  <c r="D10" i="7"/>
  <c r="H10" i="5"/>
  <c r="H10" i="6"/>
  <c r="E10" i="6"/>
  <c r="E10" i="5"/>
  <c r="E7" i="6"/>
  <c r="E7" i="5"/>
  <c r="F7" i="7"/>
  <c r="F7" i="5"/>
  <c r="O22" i="4"/>
  <c r="F7" i="6"/>
  <c r="O23" i="4"/>
  <c r="H5" i="5"/>
  <c r="N20" i="4" a="1"/>
  <c r="N20" i="4" s="1"/>
  <c r="E5" i="7"/>
  <c r="E5" i="5"/>
  <c r="D10" i="6"/>
  <c r="D7" i="7"/>
  <c r="S21" i="4"/>
  <c r="J8" i="4" s="1"/>
  <c r="S28" i="4" s="1"/>
  <c r="D5" i="7"/>
  <c r="D5" i="6"/>
  <c r="D5" i="5"/>
  <c r="L20" i="4" a="1"/>
  <c r="L20" i="4" s="1"/>
  <c r="M16" i="4"/>
  <c r="F16" i="5"/>
  <c r="G40" i="6"/>
  <c r="F26" i="5"/>
  <c r="I16" i="6"/>
  <c r="F31" i="5"/>
  <c r="I16" i="5" l="1"/>
  <c r="I32" i="5"/>
  <c r="H16" i="5"/>
  <c r="H16" i="7"/>
  <c r="H25" i="5"/>
  <c r="E16" i="6"/>
  <c r="I31" i="6"/>
  <c r="I8" i="4"/>
  <c r="I8" i="5" s="1"/>
  <c r="I25" i="6"/>
  <c r="I32" i="6"/>
  <c r="I16" i="7"/>
  <c r="I21" i="6"/>
  <c r="H32" i="5"/>
  <c r="H32" i="7"/>
  <c r="H21" i="5"/>
  <c r="H26" i="5"/>
  <c r="J16" i="4"/>
  <c r="F32" i="6"/>
  <c r="F25" i="6"/>
  <c r="F26" i="6"/>
  <c r="H31" i="6"/>
  <c r="H32" i="6"/>
  <c r="H21" i="6"/>
  <c r="F16" i="7"/>
  <c r="F16" i="6"/>
  <c r="F21" i="7"/>
  <c r="E16" i="7"/>
  <c r="E21" i="6"/>
  <c r="E21" i="7"/>
  <c r="E31" i="7"/>
  <c r="E16" i="5"/>
  <c r="E32" i="7"/>
  <c r="J31" i="4"/>
  <c r="F25" i="7"/>
  <c r="H16" i="6"/>
  <c r="F32" i="7"/>
  <c r="E26" i="5"/>
  <c r="I32" i="7"/>
  <c r="I26" i="7"/>
  <c r="J32" i="4"/>
  <c r="E31" i="5"/>
  <c r="E31" i="6"/>
  <c r="E26" i="6"/>
  <c r="J26" i="4"/>
  <c r="F31" i="7"/>
  <c r="H25" i="6"/>
  <c r="H31" i="7"/>
  <c r="H26" i="7"/>
  <c r="E21" i="5"/>
  <c r="I21" i="7"/>
  <c r="I25" i="7"/>
  <c r="E32" i="5"/>
  <c r="H25" i="7"/>
  <c r="H8" i="4"/>
  <c r="H6" i="4" s="1"/>
  <c r="H11" i="4" s="1"/>
  <c r="H15" i="4" s="1"/>
  <c r="J21" i="4"/>
  <c r="F21" i="6"/>
  <c r="D21" i="5"/>
  <c r="D16" i="6"/>
  <c r="F8" i="6"/>
  <c r="F8" i="5"/>
  <c r="F8" i="7"/>
  <c r="O28" i="4"/>
  <c r="E8" i="5"/>
  <c r="U8" i="4"/>
  <c r="D16" i="5"/>
  <c r="D31" i="5"/>
  <c r="J31" i="5" s="1"/>
  <c r="D16" i="7"/>
  <c r="D21" i="7"/>
  <c r="J21" i="7" s="1"/>
  <c r="D26" i="6"/>
  <c r="D26" i="7"/>
  <c r="D31" i="7"/>
  <c r="D32" i="5"/>
  <c r="D26" i="5"/>
  <c r="J26" i="5" s="1"/>
  <c r="D8" i="4"/>
  <c r="D8" i="6" s="1"/>
  <c r="D32" i="6"/>
  <c r="D31" i="6"/>
  <c r="D21" i="6"/>
  <c r="E6" i="4"/>
  <c r="E6" i="5" s="1"/>
  <c r="I8" i="6"/>
  <c r="E8" i="6"/>
  <c r="E8" i="7"/>
  <c r="M28" i="4"/>
  <c r="J6" i="4"/>
  <c r="J11" i="4" s="1"/>
  <c r="H30" i="4"/>
  <c r="H20" i="4"/>
  <c r="F6" i="7"/>
  <c r="F6" i="6"/>
  <c r="F11" i="4"/>
  <c r="F6" i="5"/>
  <c r="J16" i="7" l="1"/>
  <c r="J26" i="7"/>
  <c r="J32" i="7"/>
  <c r="J21" i="6"/>
  <c r="J32" i="6"/>
  <c r="J31" i="6"/>
  <c r="J33" i="6" s="1"/>
  <c r="J16" i="5"/>
  <c r="J32" i="5"/>
  <c r="J31" i="7"/>
  <c r="J33" i="7" s="1"/>
  <c r="J33" i="5"/>
  <c r="J16" i="6"/>
  <c r="J26" i="6"/>
  <c r="J21" i="5"/>
  <c r="I8" i="7"/>
  <c r="I6" i="4"/>
  <c r="I6" i="7" s="1"/>
  <c r="R28" i="4"/>
  <c r="H6" i="7"/>
  <c r="H8" i="6"/>
  <c r="J33" i="4"/>
  <c r="O16" i="4"/>
  <c r="H8" i="7"/>
  <c r="H11" i="7" s="1"/>
  <c r="H15" i="7" s="1"/>
  <c r="H8" i="5"/>
  <c r="Q28" i="4"/>
  <c r="H6" i="6"/>
  <c r="H11" i="6" s="1"/>
  <c r="H15" i="6" s="1"/>
  <c r="H6" i="5"/>
  <c r="F11" i="5"/>
  <c r="F20" i="5" s="1"/>
  <c r="F11" i="6"/>
  <c r="F30" i="6" s="1"/>
  <c r="F11" i="7"/>
  <c r="F30" i="7" s="1"/>
  <c r="E11" i="5"/>
  <c r="I11" i="7"/>
  <c r="I30" i="7" s="1"/>
  <c r="L28" i="4"/>
  <c r="D8" i="5"/>
  <c r="D6" i="4"/>
  <c r="D6" i="5" s="1"/>
  <c r="D8" i="7"/>
  <c r="I6" i="6"/>
  <c r="I11" i="6" s="1"/>
  <c r="I15" i="6" s="1"/>
  <c r="E11" i="4"/>
  <c r="E6" i="6"/>
  <c r="E11" i="6" s="1"/>
  <c r="E6" i="7"/>
  <c r="E11" i="7" s="1"/>
  <c r="E25" i="7" s="1"/>
  <c r="F15" i="4"/>
  <c r="F30" i="4"/>
  <c r="F20" i="4"/>
  <c r="F20" i="7"/>
  <c r="I6" i="5" l="1"/>
  <c r="I11" i="5" s="1"/>
  <c r="I30" i="5" s="1"/>
  <c r="H11" i="5"/>
  <c r="H15" i="5" s="1"/>
  <c r="E30" i="5"/>
  <c r="E25" i="5"/>
  <c r="E20" i="4"/>
  <c r="E25" i="4"/>
  <c r="E20" i="5"/>
  <c r="E15" i="6"/>
  <c r="E25" i="6"/>
  <c r="I11" i="4"/>
  <c r="I20" i="4" s="1"/>
  <c r="I15" i="7"/>
  <c r="I20" i="7"/>
  <c r="D11" i="5"/>
  <c r="D15" i="5" s="1"/>
  <c r="F15" i="7"/>
  <c r="F20" i="6"/>
  <c r="F30" i="5"/>
  <c r="F15" i="5"/>
  <c r="E15" i="5"/>
  <c r="F15" i="6"/>
  <c r="H20" i="7"/>
  <c r="H30" i="7"/>
  <c r="H30" i="6"/>
  <c r="H20" i="6"/>
  <c r="D6" i="7"/>
  <c r="D11" i="7" s="1"/>
  <c r="D6" i="6"/>
  <c r="D11" i="6" s="1"/>
  <c r="D11" i="4"/>
  <c r="H30" i="5"/>
  <c r="H20" i="5"/>
  <c r="I20" i="5"/>
  <c r="I30" i="6"/>
  <c r="E30" i="4"/>
  <c r="E15" i="4"/>
  <c r="I20" i="6"/>
  <c r="I30" i="4"/>
  <c r="I15" i="4"/>
  <c r="E20" i="6"/>
  <c r="E30" i="6"/>
  <c r="I15" i="5"/>
  <c r="E15" i="7"/>
  <c r="E30" i="7"/>
  <c r="E20" i="7"/>
  <c r="D15" i="4" l="1"/>
  <c r="D25" i="4"/>
  <c r="D20" i="5"/>
  <c r="D22" i="5" s="1"/>
  <c r="D25" i="5"/>
  <c r="D27" i="5" s="1"/>
  <c r="D15" i="6"/>
  <c r="D25" i="6"/>
  <c r="D27" i="6" s="1"/>
  <c r="D30" i="7"/>
  <c r="D33" i="7" s="1"/>
  <c r="D25" i="7"/>
  <c r="D27" i="7" s="1"/>
  <c r="D30" i="5"/>
  <c r="D33" i="5" s="1"/>
  <c r="D17" i="6"/>
  <c r="D20" i="4"/>
  <c r="D22" i="4" s="1"/>
  <c r="D30" i="4"/>
  <c r="D33" i="4" s="1"/>
  <c r="D20" i="7"/>
  <c r="D22" i="7" s="1"/>
  <c r="D15" i="7"/>
  <c r="D17" i="7" s="1"/>
  <c r="D30" i="6"/>
  <c r="D33" i="6" s="1"/>
  <c r="D20" i="6"/>
  <c r="D22" i="6" s="1"/>
  <c r="N5" i="4"/>
  <c r="Q16" i="4" s="1"/>
  <c r="R16" i="4" s="1"/>
  <c r="D17" i="5"/>
  <c r="J15" i="4"/>
  <c r="G45" i="1" s="1"/>
  <c r="D17" i="4"/>
  <c r="V46" i="1" l="1" a="1"/>
  <c r="V46" i="1" s="1"/>
  <c r="Q46" i="1" a="1"/>
  <c r="Q46" i="1" s="1"/>
  <c r="L46" i="1" a="1"/>
  <c r="L46" i="1" s="1"/>
  <c r="G46" i="1" a="1"/>
  <c r="G46" i="1" s="1"/>
  <c r="G48" i="1" s="1"/>
  <c r="G49" i="1" s="1"/>
  <c r="J20" i="4"/>
  <c r="L45" i="1" s="1"/>
  <c r="J25" i="4"/>
  <c r="Q45" i="1" s="1"/>
  <c r="D27" i="4"/>
  <c r="D35" i="4" s="1"/>
  <c r="E38" i="4" s="1"/>
  <c r="E42" i="4" s="1"/>
  <c r="D42" i="4" s="1"/>
  <c r="J30" i="4"/>
  <c r="V45" i="1" s="1"/>
  <c r="D35" i="5"/>
  <c r="E38" i="5" s="1"/>
  <c r="P37" i="4" s="1"/>
  <c r="D35" i="7"/>
  <c r="E38" i="7" s="1"/>
  <c r="L37" i="4" s="1"/>
  <c r="D35" i="6"/>
  <c r="F35" i="6" s="1"/>
  <c r="F36" i="4"/>
  <c r="Q48" i="1" l="1"/>
  <c r="Q49" i="1" s="1"/>
  <c r="V48" i="1"/>
  <c r="V49" i="1" s="1"/>
  <c r="L48" i="1"/>
  <c r="L49" i="1" s="1"/>
  <c r="E42" i="5"/>
  <c r="D42" i="5" s="1"/>
  <c r="F35" i="5"/>
  <c r="G51" i="1"/>
  <c r="Q51" i="1"/>
  <c r="E38" i="6"/>
  <c r="N37" i="4" s="1"/>
  <c r="F35" i="7"/>
  <c r="E42" i="7"/>
  <c r="D42" i="7" s="1"/>
  <c r="F35" i="4"/>
  <c r="L51" i="1" l="1"/>
  <c r="V51" i="1"/>
  <c r="E42" i="6"/>
  <c r="D42" i="6" s="1"/>
  <c r="AI13" i="1"/>
  <c r="AK13" i="1" s="1"/>
  <c r="AO13" i="1" s="1"/>
  <c r="AI11" i="1"/>
  <c r="AK11" i="1" s="1"/>
  <c r="AI10" i="1"/>
  <c r="AK10" i="1" s="1"/>
  <c r="AI8" i="1"/>
  <c r="AK8" i="1" s="1"/>
  <c r="AI6" i="1"/>
  <c r="AK6" i="1" s="1"/>
  <c r="AI5" i="1"/>
  <c r="AK5" i="1" s="1"/>
  <c r="AI4" i="1"/>
  <c r="AK4" i="1" s="1"/>
  <c r="AO4" i="1" s="1"/>
  <c r="AL4" i="1" s="1"/>
  <c r="BI33" i="1"/>
  <c r="BF33" i="1"/>
  <c r="G38" i="1" l="1"/>
  <c r="O41" i="1" s="1"/>
  <c r="BY4" i="1"/>
  <c r="AY13" i="1"/>
  <c r="BC13" i="1"/>
  <c r="BZ13" i="1"/>
  <c r="AL13" i="1"/>
  <c r="AO11" i="1"/>
  <c r="AL11" i="1" s="1"/>
  <c r="BT21" i="1"/>
  <c r="AI9" i="1" l="1"/>
  <c r="AK9" i="1" s="1"/>
  <c r="AO9" i="1" s="1"/>
  <c r="AL9" i="1" s="1"/>
  <c r="AI7" i="1"/>
  <c r="AK7" i="1" s="1"/>
  <c r="BX23" i="1" l="1"/>
  <c r="BY23" i="1" s="1"/>
  <c r="BX22" i="1"/>
  <c r="BY22" i="1" s="1"/>
  <c r="BX19" i="1"/>
  <c r="BY19" i="1" s="1"/>
  <c r="BX20" i="1"/>
  <c r="BY20" i="1" s="1"/>
  <c r="BX24" i="1"/>
  <c r="BY24" i="1" s="1"/>
  <c r="BX18" i="1"/>
  <c r="BY18" i="1" s="1"/>
  <c r="BX17" i="1"/>
  <c r="BY17" i="1" s="1"/>
  <c r="BZ8" i="1"/>
  <c r="BX21" i="1"/>
  <c r="BY21" i="1" s="1"/>
  <c r="AY4" i="1"/>
  <c r="AZ4" i="1" s="1"/>
  <c r="BZ4" i="1"/>
  <c r="BC4" i="1"/>
  <c r="BD4" i="1" s="1"/>
  <c r="BG4" i="1" s="1"/>
  <c r="BZ5" i="1"/>
  <c r="BY5" i="1"/>
  <c r="BC5" i="1"/>
  <c r="BD5" i="1" s="1"/>
  <c r="BG5" i="1" s="1"/>
  <c r="BY6" i="1"/>
  <c r="BC6" i="1"/>
  <c r="BD6" i="1" s="1"/>
  <c r="BG6" i="1" s="1"/>
  <c r="BZ6" i="1"/>
  <c r="BZ10" i="1"/>
  <c r="BC10" i="1"/>
  <c r="BD10" i="1" s="1"/>
  <c r="BG10" i="1" s="1"/>
  <c r="AY10" i="1"/>
  <c r="AZ10" i="1" s="1"/>
  <c r="BY10" i="1"/>
  <c r="BZ9" i="1"/>
  <c r="AY9" i="1"/>
  <c r="AZ9" i="1" s="1"/>
  <c r="BY9" i="1"/>
  <c r="BC9" i="1"/>
  <c r="BD9" i="1" s="1"/>
  <c r="BG9" i="1" s="1"/>
  <c r="BY11" i="1"/>
  <c r="BC11" i="1"/>
  <c r="BD11" i="1" s="1"/>
  <c r="BG11" i="1" s="1"/>
  <c r="BZ11" i="1"/>
  <c r="AY11" i="1"/>
  <c r="AZ11" i="1" s="1"/>
  <c r="BY7" i="1"/>
  <c r="BC7" i="1"/>
  <c r="BD7" i="1" s="1"/>
  <c r="BG7" i="1" s="1"/>
  <c r="BZ7" i="1"/>
  <c r="AY7" i="1"/>
  <c r="AZ7" i="1" s="1"/>
  <c r="BD13" i="1"/>
  <c r="BG13" i="1" s="1"/>
  <c r="BY13" i="1"/>
  <c r="BC8" i="1"/>
  <c r="BD8" i="1" s="1"/>
  <c r="BG8" i="1" s="1"/>
  <c r="BY8" i="1"/>
  <c r="AY8" i="1"/>
  <c r="AZ8" i="1" s="1"/>
  <c r="AY5" i="1"/>
  <c r="AZ5" i="1" s="1"/>
  <c r="AY6" i="1"/>
  <c r="AZ6" i="1" s="1"/>
  <c r="AZ13" i="1"/>
  <c r="BY12" i="1" l="1"/>
  <c r="BY14" i="1" s="1"/>
  <c r="AR11" i="1"/>
  <c r="AS11" i="1" s="1"/>
  <c r="AV11" i="1" s="1"/>
  <c r="AO10" i="1"/>
  <c r="AR9" i="1"/>
  <c r="AO8" i="1"/>
  <c r="AO7" i="1"/>
  <c r="AO6" i="1"/>
  <c r="AO5" i="1"/>
  <c r="AR4" i="1"/>
  <c r="AS4" i="1" s="1"/>
  <c r="BY25" i="1"/>
  <c r="AZ12" i="1"/>
  <c r="AZ14" i="1" s="1"/>
  <c r="BG12" i="1"/>
  <c r="BD12" i="1"/>
  <c r="BD14" i="1" s="1"/>
  <c r="BZ12" i="1"/>
  <c r="AR13" i="1"/>
  <c r="AS13" i="1" s="1"/>
  <c r="BZ14" i="1" l="1"/>
  <c r="BJ25" i="1"/>
  <c r="AR5" i="1"/>
  <c r="AS5" i="1" s="1"/>
  <c r="AV5" i="1" s="1"/>
  <c r="BV5" i="1" s="1"/>
  <c r="AL5" i="1"/>
  <c r="AR6" i="1"/>
  <c r="AS6" i="1" s="1"/>
  <c r="AV6" i="1" s="1"/>
  <c r="AL6" i="1"/>
  <c r="AR8" i="1"/>
  <c r="AS8" i="1" s="1"/>
  <c r="AV8" i="1" s="1"/>
  <c r="AL8" i="1"/>
  <c r="AR10" i="1"/>
  <c r="AS10" i="1" s="1"/>
  <c r="AV10" i="1" s="1"/>
  <c r="AL10" i="1"/>
  <c r="AR7" i="1"/>
  <c r="AS7" i="1" s="1"/>
  <c r="AV7" i="1" s="1"/>
  <c r="AL7" i="1"/>
  <c r="BJ11" i="1"/>
  <c r="BV11" i="1"/>
  <c r="AS9" i="1"/>
  <c r="AV9" i="1" s="1"/>
  <c r="BB25" i="1"/>
  <c r="BF25" i="1" s="1"/>
  <c r="BG14" i="1"/>
  <c r="AV13" i="1"/>
  <c r="AV4" i="1"/>
  <c r="CA11" i="1" l="1"/>
  <c r="BP11" i="1"/>
  <c r="BS11" i="1" s="1"/>
  <c r="BM11" i="1"/>
  <c r="BJ9" i="1"/>
  <c r="BV9" i="1"/>
  <c r="BJ7" i="1"/>
  <c r="BV7" i="1"/>
  <c r="BJ10" i="1"/>
  <c r="CA10" i="1" s="1"/>
  <c r="BV10" i="1"/>
  <c r="BJ6" i="1"/>
  <c r="BM6" i="1" s="1"/>
  <c r="BV6" i="1"/>
  <c r="BJ8" i="1"/>
  <c r="BV8" i="1"/>
  <c r="BJ13" i="1"/>
  <c r="BV13" i="1"/>
  <c r="BJ4" i="1"/>
  <c r="BV4" i="1"/>
  <c r="BJ5" i="1"/>
  <c r="BM5" i="1" s="1"/>
  <c r="AV12" i="1"/>
  <c r="AV14" i="1" s="1"/>
  <c r="BP13" i="1" l="1"/>
  <c r="BS13" i="1" s="1"/>
  <c r="BM13" i="1"/>
  <c r="BM10" i="1"/>
  <c r="BP10" i="1"/>
  <c r="BS10" i="1" s="1"/>
  <c r="CA9" i="1"/>
  <c r="BP9" i="1"/>
  <c r="BS9" i="1" s="1"/>
  <c r="BM8" i="1"/>
  <c r="BP8" i="1"/>
  <c r="BS8" i="1" s="1"/>
  <c r="BM7" i="1"/>
  <c r="BP7" i="1"/>
  <c r="BS7" i="1" s="1"/>
  <c r="BP6" i="1"/>
  <c r="BS6" i="1" s="1"/>
  <c r="CA8" i="1"/>
  <c r="BM9" i="1"/>
  <c r="BV12" i="1"/>
  <c r="BV14" i="1" s="1"/>
  <c r="BT26" i="1" s="1"/>
  <c r="CA6" i="1"/>
  <c r="CA7" i="1"/>
  <c r="CA13" i="1"/>
  <c r="BP5" i="1"/>
  <c r="BS5" i="1" s="1"/>
  <c r="CA5" i="1"/>
  <c r="BJ12" i="1"/>
  <c r="BB26" i="1" s="1"/>
  <c r="BF26" i="1" s="1"/>
  <c r="BP4" i="1"/>
  <c r="BS4" i="1" s="1"/>
  <c r="CA4" i="1"/>
  <c r="BM4" i="1"/>
  <c r="CA12" i="1" l="1"/>
  <c r="CA14" i="1" s="1"/>
  <c r="AT17" i="1" s="1"/>
  <c r="BQ25" i="1" s="1"/>
  <c r="BM12" i="1"/>
  <c r="BP12" i="1"/>
  <c r="BJ26" i="1" s="1"/>
  <c r="BJ14" i="1"/>
  <c r="BS12" i="1"/>
  <c r="BJ27" i="1" s="1"/>
  <c r="BM14" i="1" l="1"/>
  <c r="AT18" i="1"/>
  <c r="BQ26" i="1" s="1"/>
  <c r="AT19" i="1"/>
  <c r="BQ27" i="1" s="1"/>
  <c r="AT20" i="1"/>
  <c r="BB27" i="1"/>
  <c r="BF27" i="1" s="1"/>
  <c r="BS14" i="1"/>
  <c r="BP14" i="1"/>
  <c r="AZ17" i="1"/>
  <c r="BB17" i="1" l="1"/>
  <c r="AZ18" i="1"/>
  <c r="AZ19" i="1" s="1"/>
  <c r="BE19" i="1" s="1"/>
  <c r="BE17" i="1"/>
  <c r="BH17" i="1"/>
  <c r="BQ17" i="1" s="1"/>
  <c r="BK17" i="1"/>
  <c r="BN17" i="1" l="1"/>
  <c r="BT27" i="1"/>
  <c r="BK19" i="1"/>
  <c r="BK18" i="1"/>
  <c r="AZ20" i="1"/>
  <c r="BH20" i="1" s="1"/>
  <c r="BQ20" i="1" s="1"/>
  <c r="BB18" i="1"/>
  <c r="BN18" i="1" s="1"/>
  <c r="BH19" i="1"/>
  <c r="BQ19" i="1" s="1"/>
  <c r="BE18" i="1"/>
  <c r="BB19" i="1"/>
  <c r="BN19" i="1" s="1"/>
  <c r="BH18" i="1"/>
  <c r="BQ18" i="1" s="1"/>
  <c r="BE20" i="1" l="1"/>
  <c r="BK20" i="1"/>
  <c r="BB20" i="1"/>
  <c r="BN20" i="1" s="1"/>
  <c r="BN21" i="1" s="1"/>
  <c r="BB21" i="1" l="1"/>
  <c r="BE21" i="1"/>
  <c r="BH21" i="1"/>
  <c r="BQ21" i="1"/>
  <c r="BK21" i="1"/>
  <c r="BI31" i="1" l="1"/>
  <c r="BI32" i="1" s="1"/>
  <c r="BI34" i="1" s="1"/>
  <c r="BI35" i="1" s="1"/>
  <c r="BI36" i="1" s="1"/>
  <c r="BI37" i="1" s="1"/>
  <c r="BF31" i="1" l="1"/>
  <c r="BF32" i="1" s="1"/>
  <c r="BF34" i="1" s="1"/>
  <c r="BF35" i="1" s="1"/>
  <c r="BF36" i="1" s="1"/>
  <c r="BF37" i="1" s="1"/>
  <c r="R39" i="1"/>
  <c r="BL31" i="1"/>
  <c r="BL32" i="1" l="1"/>
  <c r="BL33" i="1"/>
  <c r="BL34" i="1" l="1"/>
  <c r="BL35" i="1" s="1"/>
  <c r="BL36" i="1" s="1"/>
  <c r="BL37" i="1" s="1"/>
  <c r="BF38"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<sst xmlns="http://schemas.openxmlformats.org/spreadsheetml/2006/main" count="669" uniqueCount="269">
  <si>
    <t>□</t>
  </si>
  <si>
    <t>□</t>
    <phoneticPr fontId="1"/>
  </si>
  <si>
    <t>☑</t>
    <phoneticPr fontId="1"/>
  </si>
  <si>
    <r>
      <rPr>
        <sz val="12"/>
        <color theme="1"/>
        <rFont val="Century Gothic"/>
        <family val="2"/>
      </rPr>
      <t>40</t>
    </r>
    <r>
      <rPr>
        <sz val="12"/>
        <color theme="1"/>
        <rFont val="ＭＳ 明朝"/>
        <family val="1"/>
        <charset val="128"/>
      </rPr>
      <t>歳未満</t>
    </r>
    <rPh sb="2" eb="5">
      <t>サイミマン</t>
    </rPh>
    <phoneticPr fontId="1"/>
  </si>
  <si>
    <r>
      <rPr>
        <sz val="12"/>
        <color theme="1"/>
        <rFont val="Century Gothic"/>
        <family val="2"/>
      </rPr>
      <t>40</t>
    </r>
    <r>
      <rPr>
        <sz val="12"/>
        <color theme="1"/>
        <rFont val="ＭＳ 明朝"/>
        <family val="1"/>
        <charset val="128"/>
      </rPr>
      <t>歳以上</t>
    </r>
    <r>
      <rPr>
        <sz val="12"/>
        <color theme="1"/>
        <rFont val="Century Gothic"/>
        <family val="2"/>
      </rPr>
      <t>65</t>
    </r>
    <r>
      <rPr>
        <sz val="12"/>
        <color theme="1"/>
        <rFont val="ＭＳ 明朝"/>
        <family val="1"/>
        <charset val="128"/>
      </rPr>
      <t>歳未満</t>
    </r>
    <rPh sb="2" eb="5">
      <t>サイイジョウ</t>
    </rPh>
    <rPh sb="7" eb="8">
      <t>サイ</t>
    </rPh>
    <rPh sb="8" eb="10">
      <t>ミマン</t>
    </rPh>
    <phoneticPr fontId="1"/>
  </si>
  <si>
    <t>未就学児</t>
    <rPh sb="0" eb="4">
      <t>ミシュウガクジ</t>
    </rPh>
    <phoneticPr fontId="1"/>
  </si>
  <si>
    <t>被保険者</t>
    <rPh sb="0" eb="4">
      <t>ヒホケンシャ</t>
    </rPh>
    <phoneticPr fontId="1"/>
  </si>
  <si>
    <t>給与収入</t>
    <rPh sb="0" eb="2">
      <t>キュウヨ</t>
    </rPh>
    <rPh sb="2" eb="4">
      <t>シュウニュウ</t>
    </rPh>
    <phoneticPr fontId="1"/>
  </si>
  <si>
    <t>年金収入</t>
    <rPh sb="0" eb="2">
      <t>ネンキン</t>
    </rPh>
    <rPh sb="2" eb="4">
      <t>シュウニュウ</t>
    </rPh>
    <phoneticPr fontId="1"/>
  </si>
  <si>
    <t>その他の所得</t>
    <rPh sb="2" eb="3">
      <t>タ</t>
    </rPh>
    <rPh sb="4" eb="6">
      <t>ショトク</t>
    </rPh>
    <phoneticPr fontId="1"/>
  </si>
  <si>
    <t>固定資産税</t>
    <rPh sb="0" eb="2">
      <t>コテイ</t>
    </rPh>
    <rPh sb="2" eb="5">
      <t>シサンゼイ</t>
    </rPh>
    <phoneticPr fontId="1"/>
  </si>
  <si>
    <t>擬制世帯主</t>
    <rPh sb="0" eb="2">
      <t>ギセイ</t>
    </rPh>
    <rPh sb="2" eb="5">
      <t>セタイヌシ</t>
    </rPh>
    <phoneticPr fontId="1"/>
  </si>
  <si>
    <t>医療分</t>
    <rPh sb="0" eb="2">
      <t>イリョウ</t>
    </rPh>
    <rPh sb="2" eb="3">
      <t>ブン</t>
    </rPh>
    <phoneticPr fontId="1"/>
  </si>
  <si>
    <t>支援分</t>
    <rPh sb="0" eb="2">
      <t>シエン</t>
    </rPh>
    <rPh sb="2" eb="3">
      <t>ブン</t>
    </rPh>
    <phoneticPr fontId="1"/>
  </si>
  <si>
    <t>介護分</t>
    <rPh sb="0" eb="2">
      <t>カイゴ</t>
    </rPh>
    <rPh sb="2" eb="3">
      <t>ブン</t>
    </rPh>
    <phoneticPr fontId="1"/>
  </si>
  <si>
    <t>所得割</t>
    <rPh sb="0" eb="2">
      <t>ショトク</t>
    </rPh>
    <rPh sb="2" eb="3">
      <t>ワリ</t>
    </rPh>
    <phoneticPr fontId="1"/>
  </si>
  <si>
    <t>資産割</t>
    <rPh sb="0" eb="2">
      <t>シサン</t>
    </rPh>
    <rPh sb="2" eb="3">
      <t>ワリ</t>
    </rPh>
    <phoneticPr fontId="1"/>
  </si>
  <si>
    <t>均等割</t>
    <rPh sb="0" eb="3">
      <t>キントウワリ</t>
    </rPh>
    <phoneticPr fontId="1"/>
  </si>
  <si>
    <t>平等割</t>
    <rPh sb="0" eb="2">
      <t>ビョウドウ</t>
    </rPh>
    <rPh sb="2" eb="3">
      <t>ワリ</t>
    </rPh>
    <phoneticPr fontId="1"/>
  </si>
  <si>
    <t>限度額</t>
    <rPh sb="0" eb="2">
      <t>ゲンド</t>
    </rPh>
    <rPh sb="2" eb="3">
      <t>ガク</t>
    </rPh>
    <phoneticPr fontId="1"/>
  </si>
  <si>
    <t>国民健康保険の税率</t>
    <rPh sb="0" eb="2">
      <t>コクミン</t>
    </rPh>
    <rPh sb="2" eb="4">
      <t>ケンコウ</t>
    </rPh>
    <rPh sb="4" eb="6">
      <t>ホケン</t>
    </rPh>
    <rPh sb="7" eb="9">
      <t>ゼイリツ</t>
    </rPh>
    <phoneticPr fontId="1"/>
  </si>
  <si>
    <t>給与所得控除</t>
    <rPh sb="0" eb="2">
      <t>キュウヨ</t>
    </rPh>
    <rPh sb="2" eb="4">
      <t>ショトク</t>
    </rPh>
    <rPh sb="4" eb="6">
      <t>コウジョ</t>
    </rPh>
    <phoneticPr fontId="1"/>
  </si>
  <si>
    <t>～</t>
    <phoneticPr fontId="1"/>
  </si>
  <si>
    <t>＋</t>
    <phoneticPr fontId="1"/>
  </si>
  <si>
    <t>収入金額</t>
    <rPh sb="0" eb="2">
      <t>シュウニュウ</t>
    </rPh>
    <rPh sb="2" eb="4">
      <t>キンガク</t>
    </rPh>
    <phoneticPr fontId="1"/>
  </si>
  <si>
    <t>給与所得控除</t>
    <rPh sb="0" eb="2">
      <t>キュウヨ</t>
    </rPh>
    <rPh sb="2" eb="4">
      <t>ショトク</t>
    </rPh>
    <rPh sb="4" eb="6">
      <t>コウジョ</t>
    </rPh>
    <phoneticPr fontId="1"/>
  </si>
  <si>
    <t>収入金額×</t>
    <rPh sb="0" eb="2">
      <t>シュウニュウ</t>
    </rPh>
    <rPh sb="2" eb="4">
      <t>キンガク</t>
    </rPh>
    <phoneticPr fontId="1"/>
  </si>
  <si>
    <t>A</t>
    <phoneticPr fontId="1"/>
  </si>
  <si>
    <t>B</t>
    <phoneticPr fontId="1"/>
  </si>
  <si>
    <t>C</t>
    <phoneticPr fontId="1"/>
  </si>
  <si>
    <t>D</t>
    <phoneticPr fontId="1"/>
  </si>
  <si>
    <t>E</t>
    <phoneticPr fontId="1"/>
  </si>
  <si>
    <t>F</t>
    <phoneticPr fontId="1"/>
  </si>
  <si>
    <t>G</t>
    <phoneticPr fontId="1"/>
  </si>
  <si>
    <t>H</t>
    <phoneticPr fontId="1"/>
  </si>
  <si>
    <r>
      <t>年金所得控除（</t>
    </r>
    <r>
      <rPr>
        <sz val="12"/>
        <color theme="1"/>
        <rFont val="Century Gothic"/>
        <family val="2"/>
      </rPr>
      <t>65</t>
    </r>
    <r>
      <rPr>
        <sz val="12"/>
        <color theme="1"/>
        <rFont val="ＭＳ 明朝"/>
        <family val="1"/>
        <charset val="128"/>
      </rPr>
      <t>歳未満）</t>
    </r>
    <rPh sb="0" eb="2">
      <t>ネンキン</t>
    </rPh>
    <rPh sb="2" eb="4">
      <t>ショトク</t>
    </rPh>
    <rPh sb="4" eb="6">
      <t>コウジョ</t>
    </rPh>
    <rPh sb="9" eb="12">
      <t>サイミマン</t>
    </rPh>
    <phoneticPr fontId="1"/>
  </si>
  <si>
    <t>公的年金等の収入金額</t>
    <rPh sb="0" eb="2">
      <t>コウテキ</t>
    </rPh>
    <rPh sb="2" eb="4">
      <t>ネンキン</t>
    </rPh>
    <rPh sb="4" eb="5">
      <t>トウ</t>
    </rPh>
    <rPh sb="6" eb="8">
      <t>シュウニュウ</t>
    </rPh>
    <rPh sb="8" eb="10">
      <t>キンガク</t>
    </rPh>
    <phoneticPr fontId="1"/>
  </si>
  <si>
    <t>公的年金等に係る雑所得の金額</t>
    <rPh sb="0" eb="2">
      <t>コウテキ</t>
    </rPh>
    <rPh sb="2" eb="4">
      <t>ネンキン</t>
    </rPh>
    <rPh sb="4" eb="5">
      <t>トウ</t>
    </rPh>
    <rPh sb="6" eb="7">
      <t>カカ</t>
    </rPh>
    <rPh sb="8" eb="11">
      <t>ザツショトク</t>
    </rPh>
    <rPh sb="12" eb="14">
      <t>キンガク</t>
    </rPh>
    <phoneticPr fontId="1"/>
  </si>
  <si>
    <t>－</t>
    <phoneticPr fontId="1"/>
  </si>
  <si>
    <t>－</t>
    <phoneticPr fontId="1"/>
  </si>
  <si>
    <t>G</t>
    <phoneticPr fontId="1"/>
  </si>
  <si>
    <r>
      <t>年金所得控除（</t>
    </r>
    <r>
      <rPr>
        <sz val="12"/>
        <color theme="1"/>
        <rFont val="Century Gothic"/>
        <family val="2"/>
      </rPr>
      <t>65</t>
    </r>
    <r>
      <rPr>
        <sz val="12"/>
        <color theme="1"/>
        <rFont val="ＭＳ 明朝"/>
        <family val="1"/>
        <charset val="128"/>
      </rPr>
      <t>歳以上）</t>
    </r>
    <rPh sb="0" eb="2">
      <t>ネンキン</t>
    </rPh>
    <rPh sb="2" eb="4">
      <t>ショトク</t>
    </rPh>
    <rPh sb="4" eb="6">
      <t>コウジョ</t>
    </rPh>
    <rPh sb="9" eb="12">
      <t>サイイジョウ</t>
    </rPh>
    <phoneticPr fontId="1"/>
  </si>
  <si>
    <t>給与所得</t>
    <rPh sb="0" eb="2">
      <t>キュウヨ</t>
    </rPh>
    <rPh sb="2" eb="4">
      <t>ショトク</t>
    </rPh>
    <phoneticPr fontId="1"/>
  </si>
  <si>
    <t>区</t>
    <rPh sb="0" eb="1">
      <t>ク</t>
    </rPh>
    <phoneticPr fontId="1"/>
  </si>
  <si>
    <t>給与所得(仮)</t>
    <rPh sb="0" eb="2">
      <t>キュウヨ</t>
    </rPh>
    <rPh sb="2" eb="4">
      <t>ショトク</t>
    </rPh>
    <rPh sb="5" eb="6">
      <t>カリ</t>
    </rPh>
    <phoneticPr fontId="1"/>
  </si>
  <si>
    <t>特</t>
    <rPh sb="0" eb="1">
      <t>トク</t>
    </rPh>
    <phoneticPr fontId="1"/>
  </si>
  <si>
    <r>
      <t>年金</t>
    </r>
    <r>
      <rPr>
        <sz val="10"/>
        <color theme="1"/>
        <rFont val="Century Gothic"/>
        <family val="2"/>
      </rPr>
      <t>(65</t>
    </r>
    <r>
      <rPr>
        <sz val="10"/>
        <color theme="1"/>
        <rFont val="ＭＳ 明朝"/>
        <family val="1"/>
        <charset val="128"/>
      </rPr>
      <t>歳未満</t>
    </r>
    <r>
      <rPr>
        <sz val="10"/>
        <color theme="1"/>
        <rFont val="Century Gothic"/>
        <family val="2"/>
      </rPr>
      <t>)</t>
    </r>
    <rPh sb="0" eb="2">
      <t>ネンキン</t>
    </rPh>
    <rPh sb="5" eb="8">
      <t>サイミマン</t>
    </rPh>
    <phoneticPr fontId="1"/>
  </si>
  <si>
    <r>
      <t>年金</t>
    </r>
    <r>
      <rPr>
        <sz val="10"/>
        <color theme="1"/>
        <rFont val="Century Gothic"/>
        <family val="2"/>
      </rPr>
      <t>(65</t>
    </r>
    <r>
      <rPr>
        <sz val="10"/>
        <color theme="1"/>
        <rFont val="ＭＳ 明朝"/>
        <family val="1"/>
        <charset val="128"/>
      </rPr>
      <t>歳以上</t>
    </r>
    <r>
      <rPr>
        <sz val="10"/>
        <color theme="1"/>
        <rFont val="Century Gothic"/>
        <family val="2"/>
      </rPr>
      <t>)</t>
    </r>
    <rPh sb="0" eb="2">
      <t>ネンキン</t>
    </rPh>
    <rPh sb="5" eb="8">
      <t>サイイジョウ</t>
    </rPh>
    <phoneticPr fontId="1"/>
  </si>
  <si>
    <t>給与</t>
    <rPh sb="0" eb="2">
      <t>キュウヨ</t>
    </rPh>
    <phoneticPr fontId="1"/>
  </si>
  <si>
    <t>年金所得α</t>
    <rPh sb="0" eb="2">
      <t>ネンキン</t>
    </rPh>
    <rPh sb="2" eb="4">
      <t>ショトク</t>
    </rPh>
    <phoneticPr fontId="1"/>
  </si>
  <si>
    <t>年金所得β</t>
    <rPh sb="0" eb="2">
      <t>ネンキン</t>
    </rPh>
    <rPh sb="2" eb="4">
      <t>ショトク</t>
    </rPh>
    <phoneticPr fontId="1"/>
  </si>
  <si>
    <t>軽減判定β</t>
    <rPh sb="0" eb="2">
      <t>ケイゲン</t>
    </rPh>
    <rPh sb="2" eb="4">
      <t>ハンテイ</t>
    </rPh>
    <phoneticPr fontId="1"/>
  </si>
  <si>
    <t>✔</t>
    <phoneticPr fontId="1"/>
  </si>
  <si>
    <t>総所得
金　額</t>
    <rPh sb="0" eb="1">
      <t>ソウ</t>
    </rPh>
    <rPh sb="1" eb="3">
      <t>ショトク</t>
    </rPh>
    <rPh sb="4" eb="5">
      <t>キン</t>
    </rPh>
    <rPh sb="6" eb="7">
      <t>ガク</t>
    </rPh>
    <phoneticPr fontId="1"/>
  </si>
  <si>
    <t>軽減判定
総 所 得</t>
    <rPh sb="0" eb="2">
      <t>ケイゲン</t>
    </rPh>
    <rPh sb="2" eb="4">
      <t>ハンテイ</t>
    </rPh>
    <rPh sb="5" eb="6">
      <t>ソウ</t>
    </rPh>
    <rPh sb="7" eb="8">
      <t>トコロ</t>
    </rPh>
    <rPh sb="9" eb="10">
      <t>トク</t>
    </rPh>
    <phoneticPr fontId="1"/>
  </si>
  <si>
    <t>被　保</t>
    <rPh sb="0" eb="1">
      <t>ヒ</t>
    </rPh>
    <rPh sb="2" eb="3">
      <t>ホ</t>
    </rPh>
    <phoneticPr fontId="1"/>
  </si>
  <si>
    <t>所得有</t>
    <phoneticPr fontId="1"/>
  </si>
  <si>
    <t>介護有</t>
    <phoneticPr fontId="1"/>
  </si>
  <si>
    <t>計</t>
    <rPh sb="0" eb="1">
      <t>ケイ</t>
    </rPh>
    <phoneticPr fontId="1"/>
  </si>
  <si>
    <t>介護分
総所得</t>
    <rPh sb="0" eb="2">
      <t>カイゴ</t>
    </rPh>
    <rPh sb="2" eb="3">
      <t>ブン</t>
    </rPh>
    <rPh sb="4" eb="7">
      <t>ソウショトク</t>
    </rPh>
    <phoneticPr fontId="1"/>
  </si>
  <si>
    <t>賦課基準額</t>
    <rPh sb="0" eb="2">
      <t>フカ</t>
    </rPh>
    <rPh sb="2" eb="4">
      <t>キジュン</t>
    </rPh>
    <rPh sb="4" eb="5">
      <t>ガク</t>
    </rPh>
    <phoneticPr fontId="1"/>
  </si>
  <si>
    <t>軽減判定</t>
    <rPh sb="0" eb="2">
      <t>ケイゲン</t>
    </rPh>
    <rPh sb="2" eb="4">
      <t>ハンテイ</t>
    </rPh>
    <phoneticPr fontId="1"/>
  </si>
  <si>
    <r>
      <rPr>
        <sz val="12"/>
        <color theme="1"/>
        <rFont val="Century Gothic"/>
        <family val="2"/>
      </rPr>
      <t>7</t>
    </r>
    <r>
      <rPr>
        <sz val="12"/>
        <color theme="1"/>
        <rFont val="ＭＳ 明朝"/>
        <family val="1"/>
        <charset val="128"/>
      </rPr>
      <t>割</t>
    </r>
    <rPh sb="1" eb="2">
      <t>ワリ</t>
    </rPh>
    <phoneticPr fontId="1"/>
  </si>
  <si>
    <r>
      <rPr>
        <sz val="12"/>
        <color theme="1"/>
        <rFont val="Century Gothic"/>
        <family val="2"/>
      </rPr>
      <t>5</t>
    </r>
    <r>
      <rPr>
        <sz val="12"/>
        <color theme="1"/>
        <rFont val="ＭＳ 明朝"/>
        <family val="1"/>
        <charset val="128"/>
      </rPr>
      <t>割</t>
    </r>
    <rPh sb="1" eb="2">
      <t>ワリ</t>
    </rPh>
    <phoneticPr fontId="1"/>
  </si>
  <si>
    <r>
      <rPr>
        <sz val="12"/>
        <color theme="1"/>
        <rFont val="Century Gothic"/>
        <family val="2"/>
      </rPr>
      <t>2</t>
    </r>
    <r>
      <rPr>
        <sz val="12"/>
        <color theme="1"/>
        <rFont val="ＭＳ 明朝"/>
        <family val="1"/>
        <charset val="128"/>
      </rPr>
      <t>割</t>
    </r>
    <rPh sb="1" eb="2">
      <t>ワリ</t>
    </rPh>
    <phoneticPr fontId="1"/>
  </si>
  <si>
    <t>介　護　分
賦課基準額</t>
    <rPh sb="0" eb="1">
      <t>カイ</t>
    </rPh>
    <rPh sb="2" eb="3">
      <t>マモル</t>
    </rPh>
    <rPh sb="4" eb="5">
      <t>ブン</t>
    </rPh>
    <rPh sb="6" eb="8">
      <t>フカ</t>
    </rPh>
    <rPh sb="8" eb="10">
      <t>キジュン</t>
    </rPh>
    <rPh sb="10" eb="11">
      <t>ガク</t>
    </rPh>
    <phoneticPr fontId="1"/>
  </si>
  <si>
    <r>
      <rPr>
        <sz val="12"/>
        <color theme="1"/>
        <rFont val="Century Gothic"/>
        <family val="2"/>
      </rPr>
      <t>7</t>
    </r>
    <r>
      <rPr>
        <sz val="12"/>
        <color theme="1"/>
        <rFont val="ＭＳ Ｐゴシック"/>
        <family val="3"/>
        <charset val="128"/>
      </rPr>
      <t>割軽減となる世帯</t>
    </r>
    <r>
      <rPr>
        <sz val="12"/>
        <color theme="1"/>
        <rFont val="ＭＳ 明朝"/>
        <family val="1"/>
        <charset val="128"/>
      </rPr>
      <t/>
    </r>
    <rPh sb="1" eb="2">
      <t>ワリ</t>
    </rPh>
    <rPh sb="2" eb="4">
      <t>ケイゲン</t>
    </rPh>
    <rPh sb="7" eb="9">
      <t>セタイ</t>
    </rPh>
    <phoneticPr fontId="1"/>
  </si>
  <si>
    <r>
      <rPr>
        <sz val="12"/>
        <color theme="1"/>
        <rFont val="Century Gothic"/>
        <family val="2"/>
      </rPr>
      <t>5</t>
    </r>
    <r>
      <rPr>
        <sz val="12"/>
        <color theme="1"/>
        <rFont val="ＭＳ Ｐゴシック"/>
        <family val="3"/>
        <charset val="128"/>
      </rPr>
      <t>割軽減となる世帯</t>
    </r>
    <r>
      <rPr>
        <sz val="12"/>
        <color theme="1"/>
        <rFont val="ＭＳ 明朝"/>
        <family val="1"/>
        <charset val="128"/>
      </rPr>
      <t/>
    </r>
    <rPh sb="1" eb="2">
      <t>ワリ</t>
    </rPh>
    <rPh sb="2" eb="4">
      <t>ケイゲン</t>
    </rPh>
    <rPh sb="7" eb="9">
      <t>セタイ</t>
    </rPh>
    <phoneticPr fontId="1"/>
  </si>
  <si>
    <r>
      <rPr>
        <sz val="12"/>
        <color theme="1"/>
        <rFont val="Century Gothic"/>
        <family val="2"/>
      </rPr>
      <t>2</t>
    </r>
    <r>
      <rPr>
        <sz val="12"/>
        <color theme="1"/>
        <rFont val="ＭＳ Ｐゴシック"/>
        <family val="3"/>
        <charset val="128"/>
      </rPr>
      <t>割軽減となる世帯</t>
    </r>
    <r>
      <rPr>
        <sz val="12"/>
        <color theme="1"/>
        <rFont val="ＭＳ 明朝"/>
        <family val="1"/>
        <charset val="128"/>
      </rPr>
      <t/>
    </r>
    <rPh sb="1" eb="2">
      <t>ワリ</t>
    </rPh>
    <rPh sb="2" eb="4">
      <t>ケイゲン</t>
    </rPh>
    <rPh sb="7" eb="9">
      <t>セタイ</t>
    </rPh>
    <phoneticPr fontId="1"/>
  </si>
  <si>
    <t>以下</t>
    <rPh sb="0" eb="2">
      <t>イカ</t>
    </rPh>
    <phoneticPr fontId="1"/>
  </si>
  <si>
    <t>軽減判定総所得が</t>
    <rPh sb="0" eb="2">
      <t>ケイゲン</t>
    </rPh>
    <rPh sb="2" eb="4">
      <t>ハンテイ</t>
    </rPh>
    <rPh sb="4" eb="5">
      <t>ソウ</t>
    </rPh>
    <rPh sb="5" eb="7">
      <t>ショトク</t>
    </rPh>
    <phoneticPr fontId="1"/>
  </si>
  <si>
    <t>区　　分</t>
    <rPh sb="0" eb="1">
      <t>ク</t>
    </rPh>
    <rPh sb="3" eb="4">
      <t>ブン</t>
    </rPh>
    <phoneticPr fontId="1"/>
  </si>
  <si>
    <t>所　得　基　準</t>
    <rPh sb="0" eb="1">
      <t>トコロ</t>
    </rPh>
    <rPh sb="2" eb="3">
      <t>エ</t>
    </rPh>
    <rPh sb="4" eb="5">
      <t>モトイ</t>
    </rPh>
    <rPh sb="6" eb="7">
      <t>ジュン</t>
    </rPh>
    <phoneticPr fontId="1"/>
  </si>
  <si>
    <t>該当</t>
    <rPh sb="0" eb="2">
      <t>ガイトウ</t>
    </rPh>
    <phoneticPr fontId="1"/>
  </si>
  <si>
    <t>以上</t>
    <rPh sb="0" eb="2">
      <t>イジョウ</t>
    </rPh>
    <phoneticPr fontId="1"/>
  </si>
  <si>
    <t>軽　減　な　し</t>
    <rPh sb="0" eb="1">
      <t>ケイ</t>
    </rPh>
    <rPh sb="2" eb="3">
      <t>ゲン</t>
    </rPh>
    <phoneticPr fontId="1"/>
  </si>
  <si>
    <t>医_均等割</t>
    <rPh sb="0" eb="1">
      <t>イ</t>
    </rPh>
    <rPh sb="2" eb="5">
      <t>キントウワリ</t>
    </rPh>
    <phoneticPr fontId="1"/>
  </si>
  <si>
    <t>医_平等割</t>
    <rPh sb="0" eb="1">
      <t>イ</t>
    </rPh>
    <rPh sb="2" eb="4">
      <t>ビョウドウ</t>
    </rPh>
    <rPh sb="4" eb="5">
      <t>ワリ</t>
    </rPh>
    <phoneticPr fontId="1"/>
  </si>
  <si>
    <t>後_均等割</t>
    <rPh sb="0" eb="1">
      <t>アト</t>
    </rPh>
    <rPh sb="2" eb="5">
      <t>キントウワリ</t>
    </rPh>
    <phoneticPr fontId="1"/>
  </si>
  <si>
    <t>介_均等割</t>
    <rPh sb="0" eb="1">
      <t>カイ</t>
    </rPh>
    <rPh sb="2" eb="5">
      <t>キントウワリ</t>
    </rPh>
    <phoneticPr fontId="1"/>
  </si>
  <si>
    <t>子_医_軽減</t>
    <rPh sb="0" eb="1">
      <t>コ</t>
    </rPh>
    <rPh sb="2" eb="3">
      <t>イ</t>
    </rPh>
    <rPh sb="4" eb="6">
      <t>ケイゲン</t>
    </rPh>
    <phoneticPr fontId="1"/>
  </si>
  <si>
    <t>子_後_軽減</t>
    <rPh sb="0" eb="1">
      <t>コ</t>
    </rPh>
    <rPh sb="2" eb="3">
      <t>ゴ</t>
    </rPh>
    <rPh sb="4" eb="6">
      <t>ケイゲン</t>
    </rPh>
    <phoneticPr fontId="1"/>
  </si>
  <si>
    <t>当該世帯の均等割・平等割等の基礎データ（軽減判定後）</t>
    <rPh sb="0" eb="2">
      <t>トウガイ</t>
    </rPh>
    <rPh sb="2" eb="4">
      <t>セタイ</t>
    </rPh>
    <rPh sb="5" eb="8">
      <t>キントウワリ</t>
    </rPh>
    <rPh sb="9" eb="11">
      <t>ビョウドウ</t>
    </rPh>
    <rPh sb="11" eb="12">
      <t>ワリ</t>
    </rPh>
    <rPh sb="12" eb="13">
      <t>トウ</t>
    </rPh>
    <rPh sb="14" eb="16">
      <t>キソ</t>
    </rPh>
    <rPh sb="20" eb="22">
      <t>ケイゲン</t>
    </rPh>
    <rPh sb="22" eb="24">
      <t>ハンテイ</t>
    </rPh>
    <rPh sb="24" eb="25">
      <t>ゴ</t>
    </rPh>
    <phoneticPr fontId="1"/>
  </si>
  <si>
    <t>○ 算定の基礎となるデータ</t>
    <rPh sb="2" eb="4">
      <t>サンテイ</t>
    </rPh>
    <rPh sb="5" eb="7">
      <t>キソ</t>
    </rPh>
    <phoneticPr fontId="1"/>
  </si>
  <si>
    <t>総所得金額</t>
    <rPh sb="0" eb="3">
      <t>ソウショトク</t>
    </rPh>
    <rPh sb="3" eb="5">
      <t>キンガク</t>
    </rPh>
    <phoneticPr fontId="1"/>
  </si>
  <si>
    <t>賦課基準額</t>
    <rPh sb="0" eb="2">
      <t>フカ</t>
    </rPh>
    <rPh sb="2" eb="4">
      <t>キジュン</t>
    </rPh>
    <rPh sb="4" eb="5">
      <t>ガク</t>
    </rPh>
    <phoneticPr fontId="1"/>
  </si>
  <si>
    <t>被保険者数</t>
    <rPh sb="0" eb="4">
      <t>ヒホケンシャ</t>
    </rPh>
    <rPh sb="4" eb="5">
      <t>スウ</t>
    </rPh>
    <phoneticPr fontId="1"/>
  </si>
  <si>
    <t>判定基準</t>
    <rPh sb="0" eb="2">
      <t>ハンテイ</t>
    </rPh>
    <rPh sb="2" eb="4">
      <t>キジュン</t>
    </rPh>
    <phoneticPr fontId="1"/>
  </si>
  <si>
    <t>軽減判定額</t>
    <rPh sb="0" eb="2">
      <t>ケイゲン</t>
    </rPh>
    <rPh sb="2" eb="4">
      <t>ハンテイ</t>
    </rPh>
    <rPh sb="4" eb="5">
      <t>ガク</t>
    </rPh>
    <phoneticPr fontId="1"/>
  </si>
  <si>
    <t>軽　減　判　定</t>
    <rPh sb="0" eb="1">
      <t>ケイ</t>
    </rPh>
    <rPh sb="2" eb="3">
      <t>ゲン</t>
    </rPh>
    <rPh sb="4" eb="5">
      <t>ハン</t>
    </rPh>
    <rPh sb="6" eb="7">
      <t>テイ</t>
    </rPh>
    <phoneticPr fontId="1"/>
  </si>
  <si>
    <t>未就学児数</t>
    <rPh sb="0" eb="4">
      <t>ミシュウガクジ</t>
    </rPh>
    <rPh sb="4" eb="5">
      <t>スウ</t>
    </rPh>
    <phoneticPr fontId="1"/>
  </si>
  <si>
    <t>資産割額</t>
    <rPh sb="0" eb="2">
      <t>シサン</t>
    </rPh>
    <rPh sb="2" eb="3">
      <t>ワリ</t>
    </rPh>
    <rPh sb="3" eb="4">
      <t>ガク</t>
    </rPh>
    <phoneticPr fontId="1"/>
  </si>
  <si>
    <t>計</t>
    <rPh sb="0" eb="1">
      <t>ケイ</t>
    </rPh>
    <phoneticPr fontId="1"/>
  </si>
  <si>
    <r>
      <rPr>
        <sz val="12"/>
        <color theme="1"/>
        <rFont val="ＭＳ 明朝"/>
        <family val="1"/>
        <charset val="128"/>
      </rPr>
      <t>所　得　割　額</t>
    </r>
    <rPh sb="0" eb="1">
      <t>トコロ</t>
    </rPh>
    <rPh sb="2" eb="3">
      <t>エ</t>
    </rPh>
    <rPh sb="4" eb="5">
      <t>ワリ</t>
    </rPh>
    <rPh sb="6" eb="7">
      <t>ガク</t>
    </rPh>
    <phoneticPr fontId="1"/>
  </si>
  <si>
    <r>
      <rPr>
        <sz val="12"/>
        <color theme="1"/>
        <rFont val="ＭＳ 明朝"/>
        <family val="1"/>
        <charset val="128"/>
      </rPr>
      <t>均　等　割　額</t>
    </r>
    <rPh sb="0" eb="1">
      <t>キン</t>
    </rPh>
    <rPh sb="2" eb="3">
      <t>トウ</t>
    </rPh>
    <rPh sb="4" eb="5">
      <t>ワリ</t>
    </rPh>
    <rPh sb="6" eb="7">
      <t>ガク</t>
    </rPh>
    <phoneticPr fontId="1"/>
  </si>
  <si>
    <r>
      <rPr>
        <sz val="12"/>
        <color theme="1"/>
        <rFont val="ＭＳ 明朝"/>
        <family val="1"/>
        <charset val="128"/>
      </rPr>
      <t>未就学児軽減</t>
    </r>
    <rPh sb="0" eb="4">
      <t>ミシュウガクジ</t>
    </rPh>
    <rPh sb="4" eb="6">
      <t>ケイゲン</t>
    </rPh>
    <phoneticPr fontId="1"/>
  </si>
  <si>
    <r>
      <rPr>
        <sz val="12"/>
        <color theme="1"/>
        <rFont val="ＭＳ 明朝"/>
        <family val="1"/>
        <charset val="128"/>
      </rPr>
      <t>小　　　　　計</t>
    </r>
    <rPh sb="0" eb="1">
      <t>ショウ</t>
    </rPh>
    <rPh sb="6" eb="7">
      <t>ケイ</t>
    </rPh>
    <phoneticPr fontId="1"/>
  </si>
  <si>
    <r>
      <rPr>
        <sz val="12"/>
        <color theme="1"/>
        <rFont val="ＭＳ 明朝"/>
        <family val="1"/>
        <charset val="128"/>
      </rPr>
      <t>賦課限度額超過</t>
    </r>
    <rPh sb="0" eb="2">
      <t>フカ</t>
    </rPh>
    <rPh sb="2" eb="4">
      <t>ゲンド</t>
    </rPh>
    <rPh sb="4" eb="5">
      <t>ガク</t>
    </rPh>
    <rPh sb="5" eb="7">
      <t>チョウカ</t>
    </rPh>
    <phoneticPr fontId="1"/>
  </si>
  <si>
    <r>
      <rPr>
        <sz val="12"/>
        <color theme="1"/>
        <rFont val="ＭＳ 明朝"/>
        <family val="1"/>
        <charset val="128"/>
      </rPr>
      <t>年　　税　　額</t>
    </r>
    <rPh sb="0" eb="1">
      <t>ネン</t>
    </rPh>
    <rPh sb="3" eb="4">
      <t>ゼイ</t>
    </rPh>
    <rPh sb="6" eb="7">
      <t>ガク</t>
    </rPh>
    <phoneticPr fontId="1"/>
  </si>
  <si>
    <t>医　療　分</t>
    <rPh sb="0" eb="1">
      <t>イ</t>
    </rPh>
    <rPh sb="2" eb="3">
      <t>リョウ</t>
    </rPh>
    <rPh sb="4" eb="5">
      <t>ブン</t>
    </rPh>
    <phoneticPr fontId="1"/>
  </si>
  <si>
    <t>介　護　分</t>
    <rPh sb="0" eb="1">
      <t>カイ</t>
    </rPh>
    <rPh sb="2" eb="3">
      <t>マモル</t>
    </rPh>
    <rPh sb="4" eb="5">
      <t>ブン</t>
    </rPh>
    <phoneticPr fontId="1"/>
  </si>
  <si>
    <t>支　援　分</t>
    <rPh sb="0" eb="1">
      <t>シ</t>
    </rPh>
    <rPh sb="2" eb="3">
      <t>エン</t>
    </rPh>
    <rPh sb="4" eb="5">
      <t>ブン</t>
    </rPh>
    <phoneticPr fontId="1"/>
  </si>
  <si>
    <t>支　援　分</t>
    <phoneticPr fontId="1"/>
  </si>
  <si>
    <t>↓</t>
    <phoneticPr fontId="1"/>
  </si>
  <si>
    <r>
      <t>7</t>
    </r>
    <r>
      <rPr>
        <sz val="10"/>
        <color theme="1"/>
        <rFont val="ＭＳ Ｐゴシック"/>
        <family val="3"/>
        <charset val="128"/>
      </rPr>
      <t>割</t>
    </r>
    <rPh sb="1" eb="2">
      <t>ワリ</t>
    </rPh>
    <phoneticPr fontId="1"/>
  </si>
  <si>
    <r>
      <t>5</t>
    </r>
    <r>
      <rPr>
        <sz val="10"/>
        <color theme="1"/>
        <rFont val="ＭＳ Ｐゴシック"/>
        <family val="3"/>
        <charset val="128"/>
      </rPr>
      <t>割</t>
    </r>
    <rPh sb="1" eb="2">
      <t>ワリ</t>
    </rPh>
    <phoneticPr fontId="1"/>
  </si>
  <si>
    <r>
      <t>2</t>
    </r>
    <r>
      <rPr>
        <sz val="10"/>
        <color theme="1"/>
        <rFont val="ＭＳ Ｐゴシック"/>
        <family val="3"/>
        <charset val="128"/>
      </rPr>
      <t>割</t>
    </r>
    <rPh sb="1" eb="2">
      <t>ワリ</t>
    </rPh>
    <phoneticPr fontId="1"/>
  </si>
  <si>
    <t>調整控除額</t>
    <rPh sb="0" eb="2">
      <t>チョウセイ</t>
    </rPh>
    <rPh sb="2" eb="4">
      <t>コウジョ</t>
    </rPh>
    <rPh sb="4" eb="5">
      <t>ガク</t>
    </rPh>
    <phoneticPr fontId="1"/>
  </si>
  <si>
    <r>
      <t xml:space="preserve">年間の税額
</t>
    </r>
    <r>
      <rPr>
        <sz val="12"/>
        <color theme="1"/>
        <rFont val="ＭＳ 明朝"/>
        <family val="1"/>
        <charset val="128"/>
      </rPr>
      <t>( 試 算 額 )</t>
    </r>
    <rPh sb="0" eb="1">
      <t>ネン</t>
    </rPh>
    <rPh sb="1" eb="2">
      <t>カン</t>
    </rPh>
    <rPh sb="3" eb="5">
      <t>ゼイガク</t>
    </rPh>
    <rPh sb="8" eb="9">
      <t>タメシ</t>
    </rPh>
    <rPh sb="10" eb="11">
      <t>サン</t>
    </rPh>
    <rPh sb="12" eb="13">
      <t>ガク</t>
    </rPh>
    <phoneticPr fontId="1"/>
  </si>
  <si>
    <t>・年度中の加入期間が</t>
    <rPh sb="1" eb="4">
      <t>ネンドチュウ</t>
    </rPh>
    <rPh sb="5" eb="7">
      <t>カニュウ</t>
    </rPh>
    <rPh sb="7" eb="9">
      <t>キカン</t>
    </rPh>
    <phoneticPr fontId="1"/>
  </si>
  <si>
    <r>
      <rPr>
        <sz val="12"/>
        <color theme="1"/>
        <rFont val="Century Gothic"/>
        <family val="2"/>
      </rPr>
      <t>1</t>
    </r>
    <r>
      <rPr>
        <sz val="12"/>
        <color theme="1"/>
        <rFont val="ＭＳ 明朝"/>
        <family val="1"/>
        <charset val="128"/>
      </rPr>
      <t>ヶ月分</t>
    </r>
    <rPh sb="2" eb="3">
      <t>ゲツ</t>
    </rPh>
    <rPh sb="3" eb="4">
      <t>ブン</t>
    </rPh>
    <phoneticPr fontId="1"/>
  </si>
  <si>
    <t>年　額</t>
    <rPh sb="0" eb="1">
      <t>ネン</t>
    </rPh>
    <rPh sb="2" eb="3">
      <t>ガク</t>
    </rPh>
    <phoneticPr fontId="1"/>
  </si>
  <si>
    <t>差引月数</t>
    <rPh sb="0" eb="1">
      <t>サ</t>
    </rPh>
    <rPh sb="1" eb="2">
      <t>ヒ</t>
    </rPh>
    <rPh sb="2" eb="3">
      <t>ゲツ</t>
    </rPh>
    <rPh sb="3" eb="4">
      <t>スウ</t>
    </rPh>
    <phoneticPr fontId="1"/>
  </si>
  <si>
    <t>差引額</t>
    <rPh sb="0" eb="2">
      <t>サシヒキ</t>
    </rPh>
    <rPh sb="2" eb="3">
      <t>ガク</t>
    </rPh>
    <phoneticPr fontId="1"/>
  </si>
  <si>
    <t>差引後</t>
    <rPh sb="0" eb="2">
      <t>サシヒキ</t>
    </rPh>
    <rPh sb="2" eb="3">
      <t>ゴ</t>
    </rPh>
    <phoneticPr fontId="1"/>
  </si>
  <si>
    <t>端数(切捨)</t>
    <rPh sb="0" eb="2">
      <t>ハスウ</t>
    </rPh>
    <rPh sb="3" eb="5">
      <t>キリス</t>
    </rPh>
    <phoneticPr fontId="1"/>
  </si>
  <si>
    <t>小　計</t>
    <rPh sb="0" eb="1">
      <t>ショウ</t>
    </rPh>
    <rPh sb="2" eb="3">
      <t>ケイ</t>
    </rPh>
    <phoneticPr fontId="1"/>
  </si>
  <si>
    <t>合　計</t>
    <rPh sb="0" eb="1">
      <t>ゴウ</t>
    </rPh>
    <rPh sb="2" eb="3">
      <t>ケイ</t>
    </rPh>
    <phoneticPr fontId="1"/>
  </si>
  <si>
    <t>医療分</t>
    <rPh sb="0" eb="2">
      <t>イリョウ</t>
    </rPh>
    <rPh sb="2" eb="3">
      <t>ブン</t>
    </rPh>
    <phoneticPr fontId="1"/>
  </si>
  <si>
    <t>支援分</t>
    <rPh sb="0" eb="2">
      <t>シエン</t>
    </rPh>
    <rPh sb="2" eb="3">
      <t>ブン</t>
    </rPh>
    <phoneticPr fontId="1"/>
  </si>
  <si>
    <t>介護分</t>
    <rPh sb="0" eb="2">
      <t>カイゴ</t>
    </rPh>
    <rPh sb="2" eb="3">
      <t>ブン</t>
    </rPh>
    <phoneticPr fontId="1"/>
  </si>
  <si>
    <t>：</t>
    <phoneticPr fontId="1"/>
  </si>
  <si>
    <t>　 端数処理の関係で、上記の
← １ヶ月あたりの額とズレが
　 生じることがあります。</t>
    <rPh sb="2" eb="4">
      <t>ハスウ</t>
    </rPh>
    <rPh sb="4" eb="6">
      <t>ショリ</t>
    </rPh>
    <rPh sb="7" eb="9">
      <t>カンケイ</t>
    </rPh>
    <rPh sb="11" eb="13">
      <t>ジョウキ</t>
    </rPh>
    <rPh sb="19" eb="20">
      <t>ゲツ</t>
    </rPh>
    <rPh sb="24" eb="25">
      <t>ガク</t>
    </rPh>
    <rPh sb="32" eb="33">
      <t>ショウ</t>
    </rPh>
    <phoneticPr fontId="1"/>
  </si>
  <si>
    <t>月割計算</t>
    <rPh sb="0" eb="2">
      <t>ツキワリ</t>
    </rPh>
    <rPh sb="2" eb="4">
      <t>ケイサン</t>
    </rPh>
    <phoneticPr fontId="1"/>
  </si>
  <si>
    <t>・国民健康保険税試算額の内訳</t>
    <rPh sb="1" eb="3">
      <t>コクミン</t>
    </rPh>
    <rPh sb="3" eb="5">
      <t>ケンコウ</t>
    </rPh>
    <rPh sb="5" eb="7">
      <t>ホケン</t>
    </rPh>
    <rPh sb="7" eb="8">
      <t>ゼイ</t>
    </rPh>
    <rPh sb="8" eb="10">
      <t>シサン</t>
    </rPh>
    <rPh sb="10" eb="11">
      <t>ガク</t>
    </rPh>
    <rPh sb="11" eb="12">
      <t>サンガク</t>
    </rPh>
    <rPh sb="12" eb="14">
      <t>ウチワケ</t>
    </rPh>
    <phoneticPr fontId="1"/>
  </si>
  <si>
    <t>年齢</t>
    <rPh sb="0" eb="2">
      <t>ネンレイ</t>
    </rPh>
    <phoneticPr fontId="1"/>
  </si>
  <si>
    <t>年　　齢</t>
    <rPh sb="0" eb="1">
      <t>ネン</t>
    </rPh>
    <rPh sb="3" eb="4">
      <t>トシ</t>
    </rPh>
    <phoneticPr fontId="1"/>
  </si>
  <si>
    <t xml:space="preserve">その方が未就学児の場合 ☑ に変更してください </t>
    <rPh sb="2" eb="3">
      <t>カタ</t>
    </rPh>
    <rPh sb="4" eb="8">
      <t>ミシュウガクジ</t>
    </rPh>
    <rPh sb="9" eb="11">
      <t>バアイ</t>
    </rPh>
    <phoneticPr fontId="1"/>
  </si>
  <si>
    <t>収入のない方や乳幼児も含めて、加入する人数分 ☑ に変更してください。</t>
    <rPh sb="0" eb="2">
      <t>シュウニュウ</t>
    </rPh>
    <rPh sb="5" eb="6">
      <t>カタ</t>
    </rPh>
    <rPh sb="7" eb="10">
      <t>ニュウヨウジ</t>
    </rPh>
    <rPh sb="11" eb="12">
      <t>フク</t>
    </rPh>
    <rPh sb="15" eb="17">
      <t>カニュウ</t>
    </rPh>
    <rPh sb="19" eb="22">
      <t>ニンズウブン</t>
    </rPh>
    <rPh sb="26" eb="28">
      <t>ヘンコウ</t>
    </rPh>
    <phoneticPr fontId="1"/>
  </si>
  <si>
    <t>その他所得</t>
    <rPh sb="2" eb="3">
      <t>タ</t>
    </rPh>
    <rPh sb="3" eb="5">
      <t>ショトク</t>
    </rPh>
    <phoneticPr fontId="1"/>
  </si>
  <si>
    <r>
      <rPr>
        <sz val="12"/>
        <color theme="1"/>
        <rFont val="Century Gothic"/>
        <family val="2"/>
      </rPr>
      <t>65</t>
    </r>
    <r>
      <rPr>
        <sz val="12"/>
        <color theme="1"/>
        <rFont val="ＭＳ 明朝"/>
        <family val="1"/>
        <charset val="128"/>
      </rPr>
      <t>歳以上</t>
    </r>
    <r>
      <rPr>
        <sz val="12"/>
        <color theme="1"/>
        <rFont val="Century Gothic"/>
        <family val="2"/>
      </rPr>
      <t>75</t>
    </r>
    <r>
      <rPr>
        <sz val="12"/>
        <color theme="1"/>
        <rFont val="ＭＳ 明朝"/>
        <family val="1"/>
        <charset val="128"/>
      </rPr>
      <t>歳未満</t>
    </r>
    <rPh sb="2" eb="5">
      <t>サイイジョウ</t>
    </rPh>
    <rPh sb="7" eb="8">
      <t>サイ</t>
    </rPh>
    <rPh sb="8" eb="10">
      <t>ミマン</t>
    </rPh>
    <phoneticPr fontId="1"/>
  </si>
  <si>
    <t>…</t>
    <phoneticPr fontId="1"/>
  </si>
  <si>
    <r>
      <rPr>
        <sz val="12"/>
        <color theme="1"/>
        <rFont val="Century Gothic"/>
        <family val="2"/>
      </rPr>
      <t>1</t>
    </r>
    <r>
      <rPr>
        <sz val="12"/>
        <color theme="1"/>
        <rFont val="ＭＳ 明朝"/>
        <family val="1"/>
        <charset val="128"/>
      </rPr>
      <t>月</t>
    </r>
    <r>
      <rPr>
        <sz val="12"/>
        <color theme="1"/>
        <rFont val="Century Gothic"/>
        <family val="2"/>
      </rPr>
      <t>1</t>
    </r>
    <r>
      <rPr>
        <sz val="12"/>
        <color theme="1"/>
        <rFont val="ＭＳ 明朝"/>
        <family val="1"/>
        <charset val="128"/>
      </rPr>
      <t>日時点での年齢を選択し、給与収入・年金収入・その他所得を入力してください。</t>
    </r>
    <rPh sb="8" eb="10">
      <t>ネンレイ</t>
    </rPh>
    <rPh sb="11" eb="13">
      <t>センタク</t>
    </rPh>
    <rPh sb="15" eb="17">
      <t>キュウヨ</t>
    </rPh>
    <rPh sb="17" eb="19">
      <t>シュウニュウ</t>
    </rPh>
    <rPh sb="20" eb="22">
      <t>ネンキン</t>
    </rPh>
    <rPh sb="22" eb="24">
      <t>シュウニュウ</t>
    </rPh>
    <rPh sb="27" eb="28">
      <t>タ</t>
    </rPh>
    <rPh sb="28" eb="30">
      <t>ショトク</t>
    </rPh>
    <rPh sb="31" eb="33">
      <t>ニュウリョク</t>
    </rPh>
    <phoneticPr fontId="1"/>
  </si>
  <si>
    <t>別表（世帯主が国保被保険者でない場合に入力）</t>
    <rPh sb="0" eb="2">
      <t>ベッピョウ</t>
    </rPh>
    <rPh sb="3" eb="6">
      <t>セタイヌシ</t>
    </rPh>
    <rPh sb="7" eb="9">
      <t>コクホ</t>
    </rPh>
    <rPh sb="9" eb="13">
      <t>ヒホケンシャ</t>
    </rPh>
    <rPh sb="16" eb="18">
      <t>バアイ</t>
    </rPh>
    <rPh sb="19" eb="21">
      <t>ニュウリョク</t>
    </rPh>
    <phoneticPr fontId="1"/>
  </si>
  <si>
    <r>
      <rPr>
        <sz val="12"/>
        <color theme="1"/>
        <rFont val="ＭＳ 明朝"/>
        <family val="1"/>
        <charset val="128"/>
      </rPr>
      <t>端　　数</t>
    </r>
    <r>
      <rPr>
        <sz val="12"/>
        <color theme="1"/>
        <rFont val="Century Gothic"/>
        <family val="2"/>
      </rPr>
      <t xml:space="preserve"> (</t>
    </r>
    <r>
      <rPr>
        <sz val="12"/>
        <color theme="1"/>
        <rFont val="ＭＳ 明朝"/>
        <family val="1"/>
        <charset val="128"/>
      </rPr>
      <t>切捨</t>
    </r>
    <r>
      <rPr>
        <sz val="12"/>
        <color theme="1"/>
        <rFont val="Century Gothic"/>
        <family val="2"/>
      </rPr>
      <t>)</t>
    </r>
    <rPh sb="0" eb="1">
      <t>ハシ</t>
    </rPh>
    <rPh sb="3" eb="4">
      <t>カズ</t>
    </rPh>
    <rPh sb="6" eb="7">
      <t>サイ</t>
    </rPh>
    <rPh sb="7" eb="8">
      <t>シャ</t>
    </rPh>
    <phoneticPr fontId="1"/>
  </si>
  <si>
    <t>ヶ月分の試算額</t>
    <rPh sb="1" eb="2">
      <t>ゲツ</t>
    </rPh>
    <rPh sb="2" eb="3">
      <t>ブン</t>
    </rPh>
    <rPh sb="4" eb="6">
      <t>シサン</t>
    </rPh>
    <rPh sb="6" eb="7">
      <t>ガク</t>
    </rPh>
    <phoneticPr fontId="1"/>
  </si>
  <si>
    <t>・</t>
    <phoneticPr fontId="1"/>
  </si>
  <si>
    <r>
      <t>世帯主が国保でない場合は、世帯主の情報は別表にご入力ください。</t>
    </r>
    <r>
      <rPr>
        <sz val="9"/>
        <color theme="1"/>
        <rFont val="ＭＳ 明朝"/>
        <family val="1"/>
        <charset val="128"/>
      </rPr>
      <t>※</t>
    </r>
    <r>
      <rPr>
        <sz val="9"/>
        <color theme="1"/>
        <rFont val="Century Gothic"/>
        <family val="2"/>
      </rPr>
      <t>1</t>
    </r>
    <r>
      <rPr>
        <sz val="9"/>
        <color theme="1"/>
        <rFont val="ＭＳ 明朝"/>
        <family val="1"/>
        <charset val="128"/>
      </rPr>
      <t xml:space="preserve"> </t>
    </r>
    <rPh sb="0" eb="3">
      <t>セタイヌシ</t>
    </rPh>
    <rPh sb="4" eb="6">
      <t>コクホ</t>
    </rPh>
    <rPh sb="9" eb="11">
      <t>バアイ</t>
    </rPh>
    <rPh sb="13" eb="16">
      <t>セタイヌシ</t>
    </rPh>
    <rPh sb="17" eb="19">
      <t>ジョウホウ</t>
    </rPh>
    <rPh sb="20" eb="22">
      <t>ベッピョウ</t>
    </rPh>
    <rPh sb="24" eb="26">
      <t>ニュウリョク</t>
    </rPh>
    <phoneticPr fontId="1"/>
  </si>
  <si>
    <r>
      <rPr>
        <sz val="10"/>
        <color theme="1"/>
        <rFont val="Century Gothic"/>
        <family val="2"/>
      </rPr>
      <t>1</t>
    </r>
    <r>
      <rPr>
        <sz val="10"/>
        <color theme="1"/>
        <rFont val="ＭＳ 明朝"/>
        <family val="1"/>
        <charset val="128"/>
      </rPr>
      <t>ヶ月あたりの額</t>
    </r>
    <phoneticPr fontId="1"/>
  </si>
  <si>
    <r>
      <t>※</t>
    </r>
    <r>
      <rPr>
        <sz val="12"/>
        <color theme="1"/>
        <rFont val="Century Gothic"/>
        <family val="2"/>
      </rPr>
      <t>1</t>
    </r>
    <r>
      <rPr>
        <sz val="12"/>
        <color theme="1"/>
        <rFont val="ＭＳ 明朝"/>
        <family val="1"/>
        <charset val="128"/>
      </rPr>
      <t xml:space="preserve"> 軽減判定のため、世帯主が市の国民健康保険以外に加入する場合（擬制世帯主になり</t>
    </r>
    <rPh sb="26" eb="28">
      <t>カニュウ</t>
    </rPh>
    <phoneticPr fontId="1"/>
  </si>
  <si>
    <t>　　ます）は、「別表（世帯主が国保被保険者でない場合に入力）」に入力してください。</t>
    <phoneticPr fontId="1"/>
  </si>
  <si>
    <t>● 公的年金等の源泉徴収票の場合</t>
    <phoneticPr fontId="1"/>
  </si>
  <si>
    <t>☑</t>
    <phoneticPr fontId="1"/>
  </si>
  <si>
    <t>・源泉徴収票の「支払金額」に記載されている金額を入力欄の「年金収入」欄に入力します。</t>
    <rPh sb="26" eb="27">
      <t>ラン</t>
    </rPh>
    <phoneticPr fontId="1"/>
  </si>
  <si>
    <t>　遺族年金、障害年金は収入から除いてください。</t>
    <phoneticPr fontId="1"/>
  </si>
  <si>
    <t>※複数個所から年金を受け取っている場合は全て合計した金額を入力してください。</t>
    <phoneticPr fontId="1"/>
  </si>
  <si>
    <t>● 給与の源泉徴収票の場合</t>
    <phoneticPr fontId="1"/>
  </si>
  <si>
    <t>・源泉徴収票の「支払金額」に記載されている金額を入力欄の「給与収入」欄に入力します。</t>
    <rPh sb="26" eb="27">
      <t>ラン</t>
    </rPh>
    <rPh sb="29" eb="31">
      <t>キュウヨ</t>
    </rPh>
    <phoneticPr fontId="1"/>
  </si>
  <si>
    <t>※複数個所から給与を受け取っている場合は全て合計した金額を入力してください。</t>
    <phoneticPr fontId="1"/>
  </si>
  <si>
    <t>● 確定申告書の場合</t>
    <phoneticPr fontId="1"/>
  </si>
  <si>
    <r>
      <t>　申告書</t>
    </r>
    <r>
      <rPr>
        <sz val="11"/>
        <color theme="1"/>
        <rFont val="Century Gothic"/>
        <family val="2"/>
      </rPr>
      <t>A</t>
    </r>
    <rPh sb="1" eb="4">
      <t>シンコクショ</t>
    </rPh>
    <phoneticPr fontId="1"/>
  </si>
  <si>
    <r>
      <t>　申告書</t>
    </r>
    <r>
      <rPr>
        <sz val="11"/>
        <color theme="1"/>
        <rFont val="Century Gothic"/>
        <family val="2"/>
      </rPr>
      <t>B</t>
    </r>
    <rPh sb="1" eb="4">
      <t>シンコクショ</t>
    </rPh>
    <phoneticPr fontId="1"/>
  </si>
  <si>
    <r>
      <t>【申告書</t>
    </r>
    <r>
      <rPr>
        <sz val="12"/>
        <color theme="1"/>
        <rFont val="Century Gothic"/>
        <family val="2"/>
      </rPr>
      <t>A</t>
    </r>
    <r>
      <rPr>
        <sz val="12"/>
        <color theme="1"/>
        <rFont val="ＭＳ 明朝"/>
        <family val="1"/>
        <charset val="128"/>
      </rPr>
      <t>】</t>
    </r>
    <rPh sb="1" eb="4">
      <t>シンコクショ</t>
    </rPh>
    <phoneticPr fontId="1"/>
  </si>
  <si>
    <r>
      <t>【申告書</t>
    </r>
    <r>
      <rPr>
        <sz val="12"/>
        <color theme="1"/>
        <rFont val="Century Gothic"/>
        <family val="2"/>
      </rPr>
      <t>B</t>
    </r>
    <r>
      <rPr>
        <sz val="12"/>
        <color theme="1"/>
        <rFont val="ＭＳ 明朝"/>
        <family val="1"/>
        <charset val="128"/>
      </rPr>
      <t>】</t>
    </r>
    <rPh sb="1" eb="4">
      <t>シンコクショ</t>
    </rPh>
    <phoneticPr fontId="1"/>
  </si>
  <si>
    <t>　欄に入力します。</t>
    <phoneticPr fontId="1"/>
  </si>
  <si>
    <t>※給与・年金所得がある方が確定申告書を提出</t>
    <phoneticPr fontId="1"/>
  </si>
  <si>
    <t>　している場合は、「給与収入」、「年金収入」</t>
    <phoneticPr fontId="1"/>
  </si>
  <si>
    <t>　欄は入力せずに、「その他の所得」欄に確定</t>
    <phoneticPr fontId="1"/>
  </si>
  <si>
    <t>　申告書の所得金額の「所得金額等」の「合計」</t>
    <phoneticPr fontId="1"/>
  </si>
  <si>
    <t>※給与・年金所得がある方が確定申告書を提出</t>
    <phoneticPr fontId="1"/>
  </si>
  <si>
    <t>　している場合は、「給与収入」、「年金収入」</t>
    <phoneticPr fontId="1"/>
  </si>
  <si>
    <t>　欄は入力せずに、「その他の所得」欄に確定</t>
    <phoneticPr fontId="1"/>
  </si>
  <si>
    <r>
      <t>・申告書</t>
    </r>
    <r>
      <rPr>
        <sz val="12"/>
        <color theme="1"/>
        <rFont val="Century Gothic"/>
        <family val="2"/>
      </rPr>
      <t>A</t>
    </r>
    <r>
      <rPr>
        <sz val="12"/>
        <color theme="1"/>
        <rFont val="ＭＳ 明朝"/>
        <family val="1"/>
        <charset val="128"/>
      </rPr>
      <t>の「所得金額等」の「合計」⑧に記</t>
    </r>
    <rPh sb="1" eb="3">
      <t>シンコク</t>
    </rPh>
    <rPh sb="3" eb="4">
      <t>ショ</t>
    </rPh>
    <rPh sb="7" eb="9">
      <t>ショトク</t>
    </rPh>
    <rPh sb="9" eb="11">
      <t>キンガク</t>
    </rPh>
    <rPh sb="11" eb="12">
      <t>トウ</t>
    </rPh>
    <rPh sb="15" eb="17">
      <t>ゴウケイ</t>
    </rPh>
    <phoneticPr fontId="1"/>
  </si>
  <si>
    <t>　載されている金額を入力欄の「その他の所得」</t>
    <rPh sb="17" eb="18">
      <t>タ</t>
    </rPh>
    <phoneticPr fontId="1"/>
  </si>
  <si>
    <t>　⑧に記載されている金額を入力してください。</t>
    <phoneticPr fontId="1"/>
  </si>
  <si>
    <r>
      <t>・申告書</t>
    </r>
    <r>
      <rPr>
        <sz val="12"/>
        <color theme="1"/>
        <rFont val="Century Gothic"/>
        <family val="2"/>
      </rPr>
      <t>B</t>
    </r>
    <r>
      <rPr>
        <sz val="12"/>
        <color theme="1"/>
        <rFont val="ＭＳ 明朝"/>
        <family val="1"/>
        <charset val="128"/>
      </rPr>
      <t>の「所得金額等」の「合計」⑫に記</t>
    </r>
    <rPh sb="1" eb="3">
      <t>シンコク</t>
    </rPh>
    <rPh sb="3" eb="4">
      <t>ショ</t>
    </rPh>
    <rPh sb="7" eb="9">
      <t>ショトク</t>
    </rPh>
    <rPh sb="9" eb="11">
      <t>キンガク</t>
    </rPh>
    <rPh sb="11" eb="12">
      <t>トウ</t>
    </rPh>
    <rPh sb="15" eb="17">
      <t>ゴウケイ</t>
    </rPh>
    <phoneticPr fontId="1"/>
  </si>
  <si>
    <t>　⑫に記載されている金額を入力してください。</t>
    <phoneticPr fontId="1"/>
  </si>
  <si>
    <t>※退職所得は国保税の算定には関係しませんので入力する必要はありません。</t>
    <phoneticPr fontId="1"/>
  </si>
  <si>
    <t>※譲渡所得など分離課税所得がある場合は正確な算定ができません。</t>
    <phoneticPr fontId="1"/>
  </si>
  <si>
    <r>
      <t>令和</t>
    </r>
    <r>
      <rPr>
        <sz val="12"/>
        <color theme="1"/>
        <rFont val="Century Gothic"/>
        <family val="2"/>
      </rPr>
      <t>5</t>
    </r>
    <r>
      <rPr>
        <sz val="12"/>
        <color theme="1"/>
        <rFont val="ＭＳ ゴシック"/>
        <family val="3"/>
        <charset val="128"/>
      </rPr>
      <t>年</t>
    </r>
    <r>
      <rPr>
        <sz val="12"/>
        <color theme="1"/>
        <rFont val="Century Gothic"/>
        <family val="2"/>
      </rPr>
      <t>1</t>
    </r>
    <r>
      <rPr>
        <sz val="12"/>
        <color theme="1"/>
        <rFont val="ＭＳ ゴシック"/>
        <family val="3"/>
        <charset val="128"/>
      </rPr>
      <t>月から 申告書</t>
    </r>
    <r>
      <rPr>
        <sz val="12"/>
        <color theme="1"/>
        <rFont val="Century Gothic"/>
        <family val="2"/>
      </rPr>
      <t>A</t>
    </r>
    <r>
      <rPr>
        <sz val="12"/>
        <color theme="1"/>
        <rFont val="ＭＳ ゴシック"/>
        <family val="3"/>
        <charset val="128"/>
      </rPr>
      <t xml:space="preserve"> は廃止され 申告書</t>
    </r>
    <r>
      <rPr>
        <sz val="12"/>
        <color theme="1"/>
        <rFont val="Century Gothic"/>
        <family val="2"/>
      </rPr>
      <t>B</t>
    </r>
    <r>
      <rPr>
        <sz val="12"/>
        <color theme="1"/>
        <rFont val="ＭＳ ゴシック"/>
        <family val="3"/>
        <charset val="128"/>
      </rPr>
      <t xml:space="preserve"> に一本化されます</t>
    </r>
    <rPh sb="0" eb="2">
      <t>レイワ</t>
    </rPh>
    <rPh sb="3" eb="4">
      <t>ネン</t>
    </rPh>
    <rPh sb="5" eb="6">
      <t>ガツ</t>
    </rPh>
    <rPh sb="9" eb="12">
      <t>シンコクショ</t>
    </rPh>
    <rPh sb="15" eb="17">
      <t>ハイシ</t>
    </rPh>
    <rPh sb="20" eb="23">
      <t>シンコクショ</t>
    </rPh>
    <rPh sb="26" eb="29">
      <t>イッポンカ</t>
    </rPh>
    <phoneticPr fontId="1"/>
  </si>
  <si>
    <r>
      <t>○ 国民健康保険税の試算額  　</t>
    </r>
    <r>
      <rPr>
        <sz val="12"/>
        <color theme="1"/>
        <rFont val="ＭＳ 明朝"/>
        <family val="1"/>
        <charset val="128"/>
      </rPr>
      <t>※ 試算ですので実際の賦課額と異なる場合があります</t>
    </r>
    <rPh sb="2" eb="4">
      <t>コクミン</t>
    </rPh>
    <rPh sb="4" eb="6">
      <t>ケンコウ</t>
    </rPh>
    <rPh sb="6" eb="8">
      <t>ホケン</t>
    </rPh>
    <rPh sb="8" eb="9">
      <t>ゼイ</t>
    </rPh>
    <rPh sb="10" eb="12">
      <t>シサン</t>
    </rPh>
    <rPh sb="12" eb="13">
      <t>ガク</t>
    </rPh>
    <rPh sb="18" eb="20">
      <t>シサン</t>
    </rPh>
    <rPh sb="24" eb="26">
      <t>ジッサイ</t>
    </rPh>
    <rPh sb="27" eb="30">
      <t>フカガク</t>
    </rPh>
    <rPh sb="31" eb="32">
      <t>コト</t>
    </rPh>
    <rPh sb="34" eb="36">
      <t>バアイ</t>
    </rPh>
    <phoneticPr fontId="1"/>
  </si>
  <si>
    <t>I</t>
    <phoneticPr fontId="1"/>
  </si>
  <si>
    <t>J</t>
    <phoneticPr fontId="1"/>
  </si>
  <si>
    <t>K</t>
    <phoneticPr fontId="1"/>
  </si>
  <si>
    <t>L</t>
    <phoneticPr fontId="1"/>
  </si>
  <si>
    <t>［切捨</t>
    <rPh sb="1" eb="3">
      <t>キリス</t>
    </rPh>
    <phoneticPr fontId="1"/>
  </si>
  <si>
    <t>桁］）×</t>
    <rPh sb="0" eb="1">
      <t>ケタ</t>
    </rPh>
    <phoneticPr fontId="1"/>
  </si>
  <si>
    <t>＋</t>
    <phoneticPr fontId="1"/>
  </si>
  <si>
    <t>（収入金額×</t>
    <phoneticPr fontId="1"/>
  </si>
  <si>
    <t>＋（収入金額／</t>
    <phoneticPr fontId="1"/>
  </si>
  <si>
    <t>給与所得別表対応版</t>
    <rPh sb="0" eb="2">
      <t>キュウヨ</t>
    </rPh>
    <rPh sb="2" eb="4">
      <t>ショトク</t>
    </rPh>
    <rPh sb="4" eb="6">
      <t>ベッピョウ</t>
    </rPh>
    <rPh sb="6" eb="8">
      <t>タイオウ</t>
    </rPh>
    <rPh sb="8" eb="9">
      <t>バン</t>
    </rPh>
    <phoneticPr fontId="1"/>
  </si>
  <si>
    <r>
      <rPr>
        <sz val="12"/>
        <color theme="1"/>
        <rFont val="Century Gothic"/>
        <family val="2"/>
      </rPr>
      <t>65</t>
    </r>
    <r>
      <rPr>
        <sz val="12"/>
        <color theme="1"/>
        <rFont val="ＭＳ 明朝"/>
        <family val="1"/>
        <charset val="128"/>
      </rPr>
      <t>歳以上</t>
    </r>
    <rPh sb="2" eb="5">
      <t>サイイジョウ</t>
    </rPh>
    <phoneticPr fontId="1"/>
  </si>
  <si>
    <r>
      <rPr>
        <u/>
        <sz val="12"/>
        <color theme="1"/>
        <rFont val="ＭＳ ゴシック"/>
        <family val="3"/>
        <charset val="128"/>
      </rPr>
      <t>世帯主の方が国民健康保険の被保険者でない場合</t>
    </r>
    <r>
      <rPr>
        <sz val="12"/>
        <color theme="1"/>
        <rFont val="ＭＳ 明朝"/>
        <family val="1"/>
        <charset val="128"/>
      </rPr>
      <t>、擬制世帯主の欄を</t>
    </r>
    <r>
      <rPr>
        <sz val="12"/>
        <color theme="1"/>
        <rFont val="ＭＳ ゴシック"/>
        <family val="3"/>
        <charset val="128"/>
      </rPr>
      <t xml:space="preserve"> ☑ </t>
    </r>
    <r>
      <rPr>
        <sz val="12"/>
        <color theme="1"/>
        <rFont val="ＭＳ 明朝"/>
        <family val="1"/>
        <charset val="128"/>
      </rPr>
      <t>に変更し、令和</t>
    </r>
    <r>
      <rPr>
        <sz val="12"/>
        <color theme="1"/>
        <rFont val="Century Gothic"/>
        <family val="2"/>
      </rPr>
      <t>6</t>
    </r>
    <r>
      <rPr>
        <sz val="12"/>
        <color theme="1"/>
        <rFont val="ＭＳ 明朝"/>
        <family val="1"/>
        <charset val="128"/>
      </rPr>
      <t>年</t>
    </r>
    <rPh sb="0" eb="3">
      <t>セタイヌシ</t>
    </rPh>
    <rPh sb="4" eb="5">
      <t>カタ</t>
    </rPh>
    <rPh sb="6" eb="8">
      <t>コクミン</t>
    </rPh>
    <rPh sb="8" eb="10">
      <t>ケンコウ</t>
    </rPh>
    <rPh sb="10" eb="12">
      <t>ホケン</t>
    </rPh>
    <rPh sb="13" eb="14">
      <t>ヒ</t>
    </rPh>
    <rPh sb="14" eb="17">
      <t>ホケンシャ</t>
    </rPh>
    <rPh sb="20" eb="22">
      <t>バアイ</t>
    </rPh>
    <rPh sb="23" eb="25">
      <t>ギセイ</t>
    </rPh>
    <rPh sb="25" eb="28">
      <t>セタイヌシ</t>
    </rPh>
    <rPh sb="29" eb="30">
      <t>ラン</t>
    </rPh>
    <rPh sb="35" eb="37">
      <t>ヘンコウ</t>
    </rPh>
    <phoneticPr fontId="1"/>
  </si>
  <si>
    <t>令和8年度国民健康保険税の試算</t>
    <phoneticPr fontId="1"/>
  </si>
  <si>
    <r>
      <t>令和8年</t>
    </r>
    <r>
      <rPr>
        <sz val="12"/>
        <color theme="1"/>
        <rFont val="Century Gothic"/>
        <family val="2"/>
      </rPr>
      <t>1</t>
    </r>
    <r>
      <rPr>
        <sz val="12"/>
        <color theme="1"/>
        <rFont val="ＭＳ 明朝"/>
        <family val="1"/>
        <charset val="128"/>
      </rPr>
      <t>月</t>
    </r>
    <r>
      <rPr>
        <sz val="12"/>
        <color theme="1"/>
        <rFont val="Century Gothic"/>
        <family val="2"/>
      </rPr>
      <t>1</t>
    </r>
    <r>
      <rPr>
        <sz val="12"/>
        <color theme="1"/>
        <rFont val="ＭＳ 明朝"/>
        <family val="1"/>
        <charset val="128"/>
      </rPr>
      <t>日時点での年齢を選んでください。</t>
    </r>
    <phoneticPr fontId="1"/>
  </si>
  <si>
    <r>
      <t>※令和8年</t>
    </r>
    <r>
      <rPr>
        <sz val="10.5"/>
        <color theme="1"/>
        <rFont val="Century Gothic"/>
        <family val="2"/>
      </rPr>
      <t>1</t>
    </r>
    <r>
      <rPr>
        <sz val="10.5"/>
        <color theme="1"/>
        <rFont val="ＭＳ 明朝"/>
        <family val="1"/>
        <charset val="128"/>
      </rPr>
      <t>月～</t>
    </r>
    <r>
      <rPr>
        <sz val="10.5"/>
        <color theme="1"/>
        <rFont val="Century Gothic"/>
        <family val="2"/>
      </rPr>
      <t>4</t>
    </r>
    <r>
      <rPr>
        <sz val="10.5"/>
        <color theme="1"/>
        <rFont val="ＭＳ 明朝"/>
        <family val="1"/>
        <charset val="128"/>
      </rPr>
      <t>月の間</t>
    </r>
    <r>
      <rPr>
        <sz val="10.5"/>
        <color theme="1"/>
        <rFont val="Century Gothic"/>
        <family val="2"/>
      </rPr>
      <t>40</t>
    </r>
    <r>
      <rPr>
        <sz val="10.5"/>
        <color theme="1"/>
        <rFont val="ＭＳ 明朝"/>
        <family val="1"/>
        <charset val="128"/>
      </rPr>
      <t>歳を迎える方は、「</t>
    </r>
    <r>
      <rPr>
        <sz val="10.5"/>
        <color theme="1"/>
        <rFont val="Century Gothic"/>
        <family val="2"/>
      </rPr>
      <t>40</t>
    </r>
    <r>
      <rPr>
        <sz val="10.5"/>
        <color theme="1"/>
        <rFont val="ＭＳ 明朝"/>
        <family val="1"/>
        <charset val="128"/>
      </rPr>
      <t>歳以上</t>
    </r>
    <r>
      <rPr>
        <sz val="10.5"/>
        <color theme="1"/>
        <rFont val="Century Gothic"/>
        <family val="2"/>
      </rPr>
      <t>65</t>
    </r>
    <r>
      <rPr>
        <sz val="10.5"/>
        <color theme="1"/>
        <rFont val="ＭＳ 明朝"/>
        <family val="1"/>
        <charset val="128"/>
      </rPr>
      <t>歳未満」としてください。
　令和8年</t>
    </r>
    <r>
      <rPr>
        <sz val="10.5"/>
        <color theme="1"/>
        <rFont val="Century Gothic"/>
        <family val="2"/>
      </rPr>
      <t>5</t>
    </r>
    <r>
      <rPr>
        <sz val="10.5"/>
        <color theme="1"/>
        <rFont val="ＭＳ 明朝"/>
        <family val="1"/>
        <charset val="128"/>
      </rPr>
      <t>月～令和9年</t>
    </r>
    <r>
      <rPr>
        <sz val="10.5"/>
        <color theme="1"/>
        <rFont val="Century Gothic"/>
        <family val="2"/>
      </rPr>
      <t>3</t>
    </r>
    <r>
      <rPr>
        <sz val="10.5"/>
        <color theme="1"/>
        <rFont val="ＭＳ 明朝"/>
        <family val="1"/>
        <charset val="128"/>
      </rPr>
      <t>月の間に</t>
    </r>
    <r>
      <rPr>
        <sz val="10.5"/>
        <color theme="1"/>
        <rFont val="Century Gothic"/>
        <family val="2"/>
      </rPr>
      <t>40</t>
    </r>
    <r>
      <rPr>
        <sz val="10.5"/>
        <color theme="1"/>
        <rFont val="ＭＳ 明朝"/>
        <family val="1"/>
        <charset val="128"/>
      </rPr>
      <t>歳を迎える方は、「</t>
    </r>
    <r>
      <rPr>
        <sz val="10.5"/>
        <color theme="1"/>
        <rFont val="Century Gothic"/>
        <family val="2"/>
      </rPr>
      <t>40</t>
    </r>
    <r>
      <rPr>
        <sz val="10.5"/>
        <color theme="1"/>
        <rFont val="ＭＳ 明朝"/>
        <family val="1"/>
        <charset val="128"/>
      </rPr>
      <t>歳未満」の税額と「</t>
    </r>
    <r>
      <rPr>
        <sz val="10.5"/>
        <color theme="1"/>
        <rFont val="Century Gothic"/>
        <family val="2"/>
      </rPr>
      <t>40</t>
    </r>
    <r>
      <rPr>
        <sz val="10.5"/>
        <color theme="1"/>
        <rFont val="ＭＳ 明朝"/>
        <family val="1"/>
        <charset val="128"/>
      </rPr>
      <t>歳
　以上</t>
    </r>
    <r>
      <rPr>
        <sz val="10.5"/>
        <color theme="1"/>
        <rFont val="Century Gothic"/>
        <family val="2"/>
      </rPr>
      <t>65</t>
    </r>
    <r>
      <rPr>
        <sz val="10.5"/>
        <color theme="1"/>
        <rFont val="ＭＳ 明朝"/>
        <family val="1"/>
        <charset val="128"/>
      </rPr>
      <t>歳未満」の税額をそれぞれ加入月数で算出し、合算して試算してください。</t>
    </r>
    <rPh sb="9" eb="10">
      <t>ガツ</t>
    </rPh>
    <rPh sb="11" eb="12">
      <t>カン</t>
    </rPh>
    <rPh sb="14" eb="15">
      <t>サイ</t>
    </rPh>
    <rPh sb="16" eb="17">
      <t>ムカ</t>
    </rPh>
    <rPh sb="19" eb="20">
      <t>カタ</t>
    </rPh>
    <rPh sb="44" eb="46">
      <t>レイワ</t>
    </rPh>
    <rPh sb="47" eb="48">
      <t>ネン</t>
    </rPh>
    <rPh sb="49" eb="50">
      <t>ガツ</t>
    </rPh>
    <rPh sb="55" eb="56">
      <t>ガツ</t>
    </rPh>
    <rPh sb="57" eb="58">
      <t>カン</t>
    </rPh>
    <rPh sb="61" eb="62">
      <t>サイ</t>
    </rPh>
    <rPh sb="63" eb="64">
      <t>ムカ</t>
    </rPh>
    <rPh sb="66" eb="67">
      <t>カタ</t>
    </rPh>
    <rPh sb="72" eb="75">
      <t>サイミマン</t>
    </rPh>
    <rPh sb="77" eb="79">
      <t>ゼイガク</t>
    </rPh>
    <rPh sb="95" eb="97">
      <t>ゼイガク</t>
    </rPh>
    <rPh sb="102" eb="104">
      <t>カニュウ</t>
    </rPh>
    <rPh sb="104" eb="106">
      <t>ツキスウ</t>
    </rPh>
    <rPh sb="107" eb="109">
      <t>サンシュツ</t>
    </rPh>
    <rPh sb="111" eb="113">
      <t>ガッサン</t>
    </rPh>
    <rPh sb="115" eb="117">
      <t>シサン</t>
    </rPh>
    <phoneticPr fontId="1"/>
  </si>
  <si>
    <t>令和7年中の給与収入、公的年金収入、その他の所得の内容を入力します。
収入のない方は空欄のままで構いません。
入力する額は「収入・所得の入力について」タグをご参照ください。</t>
    <rPh sb="59" eb="60">
      <t>ガク</t>
    </rPh>
    <rPh sb="62" eb="64">
      <t>シュウニュウ</t>
    </rPh>
    <rPh sb="79" eb="81">
      <t>サンショウ</t>
    </rPh>
    <phoneticPr fontId="1"/>
  </si>
  <si>
    <t>年齢はＲ8年１月１日現在</t>
    <rPh sb="0" eb="2">
      <t>ネンレイ</t>
    </rPh>
    <rPh sb="5" eb="6">
      <t>ネン</t>
    </rPh>
    <rPh sb="7" eb="8">
      <t>ガツ</t>
    </rPh>
    <rPh sb="9" eb="10">
      <t>ヒ</t>
    </rPh>
    <rPh sb="10" eb="12">
      <t>ゲンザイ</t>
    </rPh>
    <phoneticPr fontId="28"/>
  </si>
  <si>
    <t>軽減ナシ</t>
    <rPh sb="0" eb="2">
      <t>ケイゲン</t>
    </rPh>
    <phoneticPr fontId="28"/>
  </si>
  <si>
    <t>擬主</t>
    <rPh sb="0" eb="2">
      <t>ギヌシ</t>
    </rPh>
    <phoneticPr fontId="28"/>
  </si>
  <si>
    <t>年度</t>
    <rPh sb="0" eb="2">
      <t>ネンド</t>
    </rPh>
    <phoneticPr fontId="28"/>
  </si>
  <si>
    <t>年齢</t>
    <rPh sb="0" eb="2">
      <t>ネンレイ</t>
    </rPh>
    <phoneticPr fontId="28"/>
  </si>
  <si>
    <t>備　考</t>
    <rPh sb="0" eb="1">
      <t>ビ</t>
    </rPh>
    <rPh sb="2" eb="3">
      <t>コウ</t>
    </rPh>
    <phoneticPr fontId="28"/>
  </si>
  <si>
    <t>　</t>
  </si>
  <si>
    <t>(給与収入)</t>
    <rPh sb="1" eb="3">
      <t>キュウヨ</t>
    </rPh>
    <rPh sb="3" eb="5">
      <t>シュウニュウ</t>
    </rPh>
    <phoneticPr fontId="28"/>
  </si>
  <si>
    <t>所得合計（全員）</t>
    <rPh sb="0" eb="2">
      <t>ショトク</t>
    </rPh>
    <rPh sb="2" eb="4">
      <t>ゴウケイ</t>
    </rPh>
    <rPh sb="5" eb="7">
      <t>ゼンイン</t>
    </rPh>
    <phoneticPr fontId="28"/>
  </si>
  <si>
    <t>軽減基準額</t>
    <rPh sb="0" eb="2">
      <t>ケイゲン</t>
    </rPh>
    <rPh sb="2" eb="5">
      <t>キジュンガク</t>
    </rPh>
    <phoneticPr fontId="28"/>
  </si>
  <si>
    <t>給与所得</t>
    <rPh sb="0" eb="2">
      <t>キュウヨ</t>
    </rPh>
    <rPh sb="2" eb="4">
      <t>ショトク</t>
    </rPh>
    <phoneticPr fontId="28"/>
  </si>
  <si>
    <r>
      <t xml:space="preserve">※軽減判定時の世帯内の合計所得には擬主分も含める
</t>
    </r>
    <r>
      <rPr>
        <b/>
        <sz val="10"/>
        <color indexed="10"/>
        <rFont val="ＭＳ ゴシック"/>
        <family val="3"/>
        <charset val="128"/>
      </rPr>
      <t>(世帯主（国保に加入していない世帯主を含む）と被保険者、特定同一世帯所属者の前年中の総所得金額等の合計額で判定します)</t>
    </r>
    <rPh sb="1" eb="3">
      <t>ケイゲン</t>
    </rPh>
    <rPh sb="3" eb="5">
      <t>ハンテイ</t>
    </rPh>
    <rPh sb="5" eb="6">
      <t>ジ</t>
    </rPh>
    <rPh sb="7" eb="9">
      <t>セタイ</t>
    </rPh>
    <rPh sb="9" eb="10">
      <t>ナイ</t>
    </rPh>
    <rPh sb="11" eb="13">
      <t>ゴウケイ</t>
    </rPh>
    <rPh sb="13" eb="15">
      <t>ショトク</t>
    </rPh>
    <rPh sb="17" eb="18">
      <t>ギ</t>
    </rPh>
    <rPh sb="18" eb="19">
      <t>ヌシ</t>
    </rPh>
    <rPh sb="19" eb="20">
      <t>ブン</t>
    </rPh>
    <rPh sb="21" eb="22">
      <t>フク</t>
    </rPh>
    <phoneticPr fontId="28"/>
  </si>
  <si>
    <t>(公的年金収入)</t>
    <rPh sb="1" eb="3">
      <t>コウテキ</t>
    </rPh>
    <rPh sb="3" eb="5">
      <t>ネンキン</t>
    </rPh>
    <rPh sb="5" eb="7">
      <t>シュウニュウ</t>
    </rPh>
    <phoneticPr fontId="28"/>
  </si>
  <si>
    <t>7割</t>
    <rPh sb="1" eb="2">
      <t>ワリ</t>
    </rPh>
    <phoneticPr fontId="28"/>
  </si>
  <si>
    <t>＋</t>
    <phoneticPr fontId="28"/>
  </si>
  <si>
    <t>100,000(給与所得者等の数-1)</t>
    <rPh sb="8" eb="10">
      <t>キュウヨ</t>
    </rPh>
    <rPh sb="10" eb="12">
      <t>ショトク</t>
    </rPh>
    <rPh sb="12" eb="13">
      <t>シャ</t>
    </rPh>
    <rPh sb="13" eb="14">
      <t>トウ</t>
    </rPh>
    <rPh sb="15" eb="16">
      <t>スウ</t>
    </rPh>
    <phoneticPr fontId="28"/>
  </si>
  <si>
    <t>公的年金所得</t>
    <rPh sb="0" eb="2">
      <t>コウテキ</t>
    </rPh>
    <rPh sb="2" eb="4">
      <t>ネンキン</t>
    </rPh>
    <rPh sb="4" eb="6">
      <t>ショトク</t>
    </rPh>
    <phoneticPr fontId="28"/>
  </si>
  <si>
    <t>5割</t>
    <rPh sb="1" eb="2">
      <t>ワリ</t>
    </rPh>
    <phoneticPr fontId="28"/>
  </si>
  <si>
    <t>+</t>
    <phoneticPr fontId="28"/>
  </si>
  <si>
    <t>*</t>
    <phoneticPr fontId="28"/>
  </si>
  <si>
    <t>被保険者数</t>
    <rPh sb="0" eb="4">
      <t>ヒホケンシャ</t>
    </rPh>
    <rPh sb="4" eb="5">
      <t>スウ</t>
    </rPh>
    <phoneticPr fontId="28"/>
  </si>
  <si>
    <t>100,000(給与所得者等の数-1)</t>
    <phoneticPr fontId="28"/>
  </si>
  <si>
    <t>事業所得</t>
    <rPh sb="0" eb="2">
      <t>ジギョウ</t>
    </rPh>
    <rPh sb="2" eb="4">
      <t>ショトク</t>
    </rPh>
    <phoneticPr fontId="28"/>
  </si>
  <si>
    <t>2割</t>
    <rPh sb="1" eb="2">
      <t>ワリ</t>
    </rPh>
    <phoneticPr fontId="28"/>
  </si>
  <si>
    <t>その他所得</t>
    <rPh sb="2" eb="3">
      <t>タ</t>
    </rPh>
    <rPh sb="3" eb="5">
      <t>ショトク</t>
    </rPh>
    <phoneticPr fontId="28"/>
  </si>
  <si>
    <t>※被保険者数(特定同一世帯所属者含む)には擬主は含めない</t>
    <rPh sb="1" eb="2">
      <t>ヒ</t>
    </rPh>
    <rPh sb="2" eb="4">
      <t>ホケン</t>
    </rPh>
    <rPh sb="4" eb="5">
      <t>シャ</t>
    </rPh>
    <rPh sb="5" eb="6">
      <t>スウ</t>
    </rPh>
    <rPh sb="16" eb="17">
      <t>フク</t>
    </rPh>
    <rPh sb="21" eb="22">
      <t>ギ</t>
    </rPh>
    <rPh sb="22" eb="23">
      <t>ヌシ</t>
    </rPh>
    <rPh sb="24" eb="25">
      <t>フク</t>
    </rPh>
    <phoneticPr fontId="28"/>
  </si>
  <si>
    <t>Ａ：合　計　所　得</t>
    <rPh sb="2" eb="3">
      <t>ゴウ</t>
    </rPh>
    <rPh sb="4" eb="5">
      <t>ケイ</t>
    </rPh>
    <rPh sb="6" eb="7">
      <t>ショ</t>
    </rPh>
    <rPh sb="8" eb="9">
      <t>トク</t>
    </rPh>
    <phoneticPr fontId="28"/>
  </si>
  <si>
    <t>※６５歳以上は軽減判定額（年金所得－１５万）≧0で計算</t>
    <rPh sb="3" eb="6">
      <t>サイイジョウ</t>
    </rPh>
    <rPh sb="7" eb="12">
      <t>ケイゲンハンテイガク</t>
    </rPh>
    <rPh sb="13" eb="15">
      <t>ネンキン</t>
    </rPh>
    <rPh sb="15" eb="17">
      <t>ショトク</t>
    </rPh>
    <rPh sb="20" eb="21">
      <t>マン</t>
    </rPh>
    <rPh sb="25" eb="27">
      <t>ケイサン</t>
    </rPh>
    <phoneticPr fontId="28"/>
  </si>
  <si>
    <t>※未就学児（６歳に達する日以後最初の３月３１日以前である被保険者）は、軽減判定後の均等割をさらに５割軽減</t>
    <rPh sb="1" eb="5">
      <t>ミシュウガクジ</t>
    </rPh>
    <rPh sb="7" eb="8">
      <t>サイ</t>
    </rPh>
    <rPh sb="9" eb="10">
      <t>タッ</t>
    </rPh>
    <rPh sb="12" eb="13">
      <t>ヒ</t>
    </rPh>
    <rPh sb="13" eb="15">
      <t>イゴ</t>
    </rPh>
    <rPh sb="15" eb="17">
      <t>サイショ</t>
    </rPh>
    <rPh sb="19" eb="20">
      <t>ガツ</t>
    </rPh>
    <rPh sb="22" eb="23">
      <t>ニチ</t>
    </rPh>
    <rPh sb="23" eb="25">
      <t>イゼン</t>
    </rPh>
    <rPh sb="28" eb="32">
      <t>ヒホケンシャ</t>
    </rPh>
    <rPh sb="35" eb="40">
      <t>ケイゲンハンテイゴ</t>
    </rPh>
    <rPh sb="41" eb="44">
      <t>キントウワ</t>
    </rPh>
    <rPh sb="49" eb="50">
      <t>ワリ</t>
    </rPh>
    <rPh sb="50" eb="52">
      <t>ケイゲン</t>
    </rPh>
    <phoneticPr fontId="28"/>
  </si>
  <si>
    <t>◎医療給付分　限度額</t>
    <rPh sb="1" eb="3">
      <t>イリョウ</t>
    </rPh>
    <rPh sb="3" eb="5">
      <t>キュウフ</t>
    </rPh>
    <rPh sb="5" eb="6">
      <t>ブン</t>
    </rPh>
    <rPh sb="7" eb="9">
      <t>ゲンド</t>
    </rPh>
    <rPh sb="9" eb="10">
      <t>ガク</t>
    </rPh>
    <phoneticPr fontId="28"/>
  </si>
  <si>
    <t>万円</t>
    <rPh sb="0" eb="2">
      <t>マンエン</t>
    </rPh>
    <phoneticPr fontId="28"/>
  </si>
  <si>
    <r>
      <t xml:space="preserve">国保加入者数
</t>
    </r>
    <r>
      <rPr>
        <b/>
        <sz val="10"/>
        <rFont val="ＭＳ ゴシック"/>
        <family val="3"/>
        <charset val="128"/>
      </rPr>
      <t>（特定同一含む）</t>
    </r>
    <rPh sb="0" eb="2">
      <t>コクホ</t>
    </rPh>
    <rPh sb="2" eb="5">
      <t>カニュウシャ</t>
    </rPh>
    <rPh sb="5" eb="6">
      <t>スウ</t>
    </rPh>
    <rPh sb="8" eb="12">
      <t>トクテイドウイツ</t>
    </rPh>
    <rPh sb="12" eb="13">
      <t>フク</t>
    </rPh>
    <phoneticPr fontId="28"/>
  </si>
  <si>
    <t>給与所得者等の数</t>
    <rPh sb="0" eb="2">
      <t>キュウヨ</t>
    </rPh>
    <rPh sb="2" eb="4">
      <t>ショトク</t>
    </rPh>
    <rPh sb="4" eb="5">
      <t>シャ</t>
    </rPh>
    <rPh sb="5" eb="6">
      <t>トウ</t>
    </rPh>
    <rPh sb="7" eb="8">
      <t>カズ</t>
    </rPh>
    <phoneticPr fontId="28"/>
  </si>
  <si>
    <t>65歳年金控除総額</t>
    <rPh sb="2" eb="3">
      <t>サイ</t>
    </rPh>
    <rPh sb="3" eb="7">
      <t>ネンキンコウジョ</t>
    </rPh>
    <rPh sb="7" eb="9">
      <t>ソウガク</t>
    </rPh>
    <phoneticPr fontId="28"/>
  </si>
  <si>
    <t>軽減判定額</t>
    <rPh sb="0" eb="2">
      <t>ケイゲン</t>
    </rPh>
    <rPh sb="2" eb="4">
      <t>ハンテイ</t>
    </rPh>
    <rPh sb="4" eb="5">
      <t>ガク</t>
    </rPh>
    <phoneticPr fontId="28"/>
  </si>
  <si>
    <t>軽減割合</t>
    <rPh sb="0" eb="2">
      <t>ケイゲン</t>
    </rPh>
    <rPh sb="2" eb="4">
      <t>ワリアイ</t>
    </rPh>
    <phoneticPr fontId="28"/>
  </si>
  <si>
    <r>
      <t>所得割額 （Ａ－４３万円）×</t>
    </r>
    <r>
      <rPr>
        <b/>
        <sz val="16"/>
        <color indexed="30"/>
        <rFont val="ＭＳ Ｐ明朝"/>
        <family val="1"/>
        <charset val="128"/>
      </rPr>
      <t/>
    </r>
    <rPh sb="0" eb="1">
      <t>トコロ</t>
    </rPh>
    <rPh sb="1" eb="2">
      <t>エ</t>
    </rPh>
    <rPh sb="2" eb="3">
      <t>ワリ</t>
    </rPh>
    <rPh sb="3" eb="4">
      <t>ガク</t>
    </rPh>
    <phoneticPr fontId="28"/>
  </si>
  <si>
    <t>均等割額</t>
    <rPh sb="0" eb="2">
      <t>キントウ</t>
    </rPh>
    <rPh sb="2" eb="4">
      <t>ワリガク</t>
    </rPh>
    <phoneticPr fontId="28"/>
  </si>
  <si>
    <t>医療分合計　①</t>
    <rPh sb="0" eb="1">
      <t>イ</t>
    </rPh>
    <rPh sb="1" eb="2">
      <t>リョウ</t>
    </rPh>
    <rPh sb="2" eb="3">
      <t>ブン</t>
    </rPh>
    <rPh sb="3" eb="4">
      <t>ゴウ</t>
    </rPh>
    <rPh sb="4" eb="5">
      <t>ケイ</t>
    </rPh>
    <phoneticPr fontId="28"/>
  </si>
  <si>
    <t>※100円未満切捨</t>
    <rPh sb="4" eb="5">
      <t>エン</t>
    </rPh>
    <rPh sb="5" eb="7">
      <t>ミマン</t>
    </rPh>
    <rPh sb="7" eb="9">
      <t>キリス</t>
    </rPh>
    <phoneticPr fontId="28"/>
  </si>
  <si>
    <t>◎後期高齢者支援金等分　限度額</t>
    <rPh sb="1" eb="3">
      <t>コウキ</t>
    </rPh>
    <rPh sb="3" eb="6">
      <t>コウレイシャ</t>
    </rPh>
    <rPh sb="6" eb="9">
      <t>シエンキン</t>
    </rPh>
    <rPh sb="9" eb="10">
      <t>トウ</t>
    </rPh>
    <rPh sb="10" eb="11">
      <t>ブン</t>
    </rPh>
    <rPh sb="12" eb="14">
      <t>ゲンド</t>
    </rPh>
    <rPh sb="14" eb="15">
      <t>ガク</t>
    </rPh>
    <phoneticPr fontId="28"/>
  </si>
  <si>
    <t>a</t>
    <phoneticPr fontId="28"/>
  </si>
  <si>
    <t>b</t>
    <phoneticPr fontId="28"/>
  </si>
  <si>
    <t>c</t>
    <phoneticPr fontId="28"/>
  </si>
  <si>
    <t>d</t>
    <phoneticPr fontId="28"/>
  </si>
  <si>
    <t>e</t>
    <phoneticPr fontId="28"/>
  </si>
  <si>
    <t>ｆ</t>
    <phoneticPr fontId="28"/>
  </si>
  <si>
    <t>A</t>
    <phoneticPr fontId="28"/>
  </si>
  <si>
    <t>後期支援金等分合計　②</t>
    <rPh sb="0" eb="2">
      <t>コウキ</t>
    </rPh>
    <rPh sb="2" eb="5">
      <t>シエンキン</t>
    </rPh>
    <rPh sb="5" eb="6">
      <t>トウ</t>
    </rPh>
    <rPh sb="6" eb="7">
      <t>ブン</t>
    </rPh>
    <rPh sb="7" eb="8">
      <t>ゴウ</t>
    </rPh>
    <rPh sb="8" eb="9">
      <t>ケイ</t>
    </rPh>
    <phoneticPr fontId="28"/>
  </si>
  <si>
    <t>◎介護納付金分　限度額</t>
    <rPh sb="1" eb="3">
      <t>カイゴ</t>
    </rPh>
    <rPh sb="3" eb="6">
      <t>ノウフキン</t>
    </rPh>
    <rPh sb="6" eb="7">
      <t>ブン</t>
    </rPh>
    <rPh sb="8" eb="10">
      <t>ゲンド</t>
    </rPh>
    <rPh sb="10" eb="11">
      <t>ガク</t>
    </rPh>
    <phoneticPr fontId="28"/>
  </si>
  <si>
    <t>※満４０歳以上６５才未満の方のみ課税</t>
  </si>
  <si>
    <r>
      <t>所得割額 （Ａ－３３万円）×</t>
    </r>
    <r>
      <rPr>
        <b/>
        <sz val="16"/>
        <color indexed="30"/>
        <rFont val="ＭＳ Ｐ明朝"/>
        <family val="1"/>
        <charset val="128"/>
      </rPr>
      <t/>
    </r>
    <rPh sb="0" eb="1">
      <t>トコロ</t>
    </rPh>
    <rPh sb="1" eb="2">
      <t>エ</t>
    </rPh>
    <rPh sb="2" eb="3">
      <t>ワリ</t>
    </rPh>
    <rPh sb="3" eb="4">
      <t>ガク</t>
    </rPh>
    <phoneticPr fontId="28"/>
  </si>
  <si>
    <t>介護分合計　③</t>
    <rPh sb="0" eb="1">
      <t>スケ</t>
    </rPh>
    <rPh sb="1" eb="2">
      <t>マモル</t>
    </rPh>
    <rPh sb="2" eb="3">
      <t>ブン</t>
    </rPh>
    <rPh sb="3" eb="4">
      <t>ゴウ</t>
    </rPh>
    <rPh sb="4" eb="5">
      <t>ケイ</t>
    </rPh>
    <phoneticPr fontId="28"/>
  </si>
  <si>
    <t>◎子ども・子育て分　限度額</t>
    <rPh sb="1" eb="2">
      <t>コ</t>
    </rPh>
    <rPh sb="5" eb="7">
      <t>コソダ</t>
    </rPh>
    <rPh sb="8" eb="9">
      <t>ブン</t>
    </rPh>
    <rPh sb="10" eb="12">
      <t>ゲンド</t>
    </rPh>
    <rPh sb="12" eb="13">
      <t>ガク</t>
    </rPh>
    <phoneticPr fontId="28"/>
  </si>
  <si>
    <t>※１８歳未満は均等割り無し</t>
    <rPh sb="3" eb="4">
      <t>サイ</t>
    </rPh>
    <rPh sb="4" eb="6">
      <t>ミマン</t>
    </rPh>
    <rPh sb="7" eb="9">
      <t>キントウ</t>
    </rPh>
    <rPh sb="9" eb="10">
      <t>ワ</t>
    </rPh>
    <rPh sb="11" eb="12">
      <t>ナ</t>
    </rPh>
    <phoneticPr fontId="28"/>
  </si>
  <si>
    <t>18以上均等割</t>
    <rPh sb="2" eb="4">
      <t>イジョウ</t>
    </rPh>
    <rPh sb="4" eb="7">
      <t>キントウワリ</t>
    </rPh>
    <phoneticPr fontId="28"/>
  </si>
  <si>
    <t>子ども分合計　④</t>
    <rPh sb="0" eb="1">
      <t>コ</t>
    </rPh>
    <rPh sb="3" eb="4">
      <t>ブン</t>
    </rPh>
    <rPh sb="4" eb="5">
      <t>ゴウ</t>
    </rPh>
    <rPh sb="5" eb="6">
      <t>ケイ</t>
    </rPh>
    <phoneticPr fontId="28"/>
  </si>
  <si>
    <t>合計年税額①＋②＋③＋④</t>
    <rPh sb="0" eb="1">
      <t>ゴウ</t>
    </rPh>
    <rPh sb="1" eb="2">
      <t>ケイ</t>
    </rPh>
    <rPh sb="2" eb="3">
      <t>ネン</t>
    </rPh>
    <rPh sb="3" eb="4">
      <t>ゼイ</t>
    </rPh>
    <rPh sb="4" eb="5">
      <t>ガク</t>
    </rPh>
    <phoneticPr fontId="28"/>
  </si>
  <si>
    <t>参考：１月あたり</t>
    <rPh sb="0" eb="2">
      <t>サンコウ</t>
    </rPh>
    <rPh sb="4" eb="5">
      <t>ツキ</t>
    </rPh>
    <phoneticPr fontId="28"/>
  </si>
  <si>
    <t>２割</t>
    <rPh sb="1" eb="2">
      <t>ワリ</t>
    </rPh>
    <phoneticPr fontId="28"/>
  </si>
  <si>
    <t>５割</t>
    <rPh sb="1" eb="2">
      <t>ワリ</t>
    </rPh>
    <phoneticPr fontId="28"/>
  </si>
  <si>
    <t>７割</t>
    <rPh sb="1" eb="2">
      <t>ワリ</t>
    </rPh>
    <phoneticPr fontId="28"/>
  </si>
  <si>
    <t>加入月数とその税額</t>
    <rPh sb="0" eb="2">
      <t>カニュウ</t>
    </rPh>
    <rPh sb="2" eb="3">
      <t>ツキ</t>
    </rPh>
    <rPh sb="3" eb="4">
      <t>スウ</t>
    </rPh>
    <rPh sb="7" eb="9">
      <t>ゼイガク</t>
    </rPh>
    <phoneticPr fontId="28"/>
  </si>
  <si>
    <t>加入月数</t>
    <rPh sb="0" eb="2">
      <t>カニュウ</t>
    </rPh>
    <rPh sb="2" eb="3">
      <t>ツキ</t>
    </rPh>
    <rPh sb="3" eb="4">
      <t>スウ</t>
    </rPh>
    <phoneticPr fontId="28"/>
  </si>
  <si>
    <t xml:space="preserve">     ※算出額は概算です。</t>
    <phoneticPr fontId="28"/>
  </si>
  <si>
    <t>月に行なった国保加入手続きは</t>
    <rPh sb="0" eb="1">
      <t>ツキ</t>
    </rPh>
    <rPh sb="2" eb="3">
      <t>オコ</t>
    </rPh>
    <rPh sb="6" eb="8">
      <t>コクホ</t>
    </rPh>
    <rPh sb="8" eb="10">
      <t>カニュウ</t>
    </rPh>
    <rPh sb="10" eb="12">
      <t>テツヅ</t>
    </rPh>
    <phoneticPr fontId="28"/>
  </si>
  <si>
    <r>
      <t>加入月数の税額を、</t>
    </r>
    <r>
      <rPr>
        <b/>
        <u/>
        <sz val="13"/>
        <rFont val="ＭＳ Ｐゴシック"/>
        <family val="3"/>
        <charset val="128"/>
      </rPr>
      <t xml:space="preserve">納期（回）
</t>
    </r>
    <r>
      <rPr>
        <b/>
        <sz val="13"/>
        <rFont val="ＭＳ Ｐゴシック"/>
        <family val="3"/>
        <charset val="128"/>
      </rPr>
      <t>で納めます</t>
    </r>
    <rPh sb="0" eb="2">
      <t>カニュウ</t>
    </rPh>
    <rPh sb="2" eb="3">
      <t>ツキ</t>
    </rPh>
    <rPh sb="3" eb="4">
      <t>スウ</t>
    </rPh>
    <rPh sb="5" eb="7">
      <t>ゼイガク</t>
    </rPh>
    <rPh sb="9" eb="11">
      <t>ノウキ</t>
    </rPh>
    <rPh sb="12" eb="13">
      <t>カイ</t>
    </rPh>
    <rPh sb="16" eb="17">
      <t>オサ</t>
    </rPh>
    <phoneticPr fontId="28"/>
  </si>
  <si>
    <t>期別回数</t>
    <rPh sb="0" eb="1">
      <t>キ</t>
    </rPh>
    <rPh sb="1" eb="2">
      <t>ベツ</t>
    </rPh>
    <rPh sb="2" eb="4">
      <t>カイスウ</t>
    </rPh>
    <phoneticPr fontId="28"/>
  </si>
  <si>
    <t>ヶ月分を</t>
    <rPh sb="1" eb="2">
      <t>ゲツ</t>
    </rPh>
    <rPh sb="2" eb="3">
      <t>ブン</t>
    </rPh>
    <phoneticPr fontId="28"/>
  </si>
  <si>
    <t>回で納めます</t>
    <rPh sb="0" eb="1">
      <t>カイ</t>
    </rPh>
    <rPh sb="2" eb="3">
      <t>オサ</t>
    </rPh>
    <phoneticPr fontId="28"/>
  </si>
  <si>
    <t>１回目</t>
    <rPh sb="1" eb="3">
      <t>カイメ</t>
    </rPh>
    <phoneticPr fontId="28"/>
  </si>
  <si>
    <t>2回目以降</t>
    <rPh sb="1" eb="3">
      <t>カイメ</t>
    </rPh>
    <rPh sb="3" eb="5">
      <t>イコウ</t>
    </rPh>
    <phoneticPr fontId="28"/>
  </si>
  <si>
    <r>
      <rPr>
        <sz val="12"/>
        <rFont val="ＭＳ Ｐ明朝"/>
        <family val="1"/>
        <charset val="128"/>
      </rPr>
      <t>月中旬、</t>
    </r>
    <r>
      <rPr>
        <u/>
        <sz val="12"/>
        <rFont val="ＭＳ Ｐゴシック"/>
        <family val="3"/>
        <charset val="128"/>
      </rPr>
      <t>世帯主様に納付書を郵送します</t>
    </r>
    <rPh sb="0" eb="1">
      <t>ツキ</t>
    </rPh>
    <rPh sb="1" eb="3">
      <t>チュウジュン</t>
    </rPh>
    <rPh sb="4" eb="7">
      <t>セタイヌシ</t>
    </rPh>
    <rPh sb="7" eb="8">
      <t>サマ</t>
    </rPh>
    <rPh sb="9" eb="11">
      <t>ノ</t>
    </rPh>
    <rPh sb="11" eb="12">
      <t>ショ</t>
    </rPh>
    <rPh sb="13" eb="14">
      <t>ユウ</t>
    </rPh>
    <rPh sb="14" eb="15">
      <t>ソウ</t>
    </rPh>
    <phoneticPr fontId="28"/>
  </si>
  <si>
    <t xml:space="preserve">     </t>
    <phoneticPr fontId="28"/>
  </si>
  <si>
    <t>軽減割合</t>
    <rPh sb="0" eb="4">
      <t>ケイゲンワリアイ</t>
    </rPh>
    <phoneticPr fontId="28"/>
  </si>
  <si>
    <t>備　考</t>
    <phoneticPr fontId="28"/>
  </si>
  <si>
    <t>加入月数の税額</t>
    <rPh sb="0" eb="2">
      <t>カニュウ</t>
    </rPh>
    <rPh sb="2" eb="3">
      <t>ツキ</t>
    </rPh>
    <rPh sb="3" eb="4">
      <t>スウ</t>
    </rPh>
    <rPh sb="5" eb="7">
      <t>ゼイガク</t>
    </rPh>
    <phoneticPr fontId="28"/>
  </si>
  <si>
    <t>①</t>
    <phoneticPr fontId="1"/>
  </si>
  <si>
    <t>②</t>
    <phoneticPr fontId="1"/>
  </si>
  <si>
    <t>③</t>
    <phoneticPr fontId="1"/>
  </si>
  <si>
    <t>④</t>
    <phoneticPr fontId="1"/>
  </si>
  <si>
    <t>⑤</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</si>
</sst>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quot;△ &quot;#,##0"/>
    <numFmt numFmtId="177" formatCode="###,###,##0&quot;円&quot;"/>
    <numFmt numFmtId="178" formatCode="###,###,##0&quot;人&quot;"/>
    <numFmt numFmtId="179" formatCode="0;&quot;△ &quot;0"/>
    <numFmt numFmtId="180" formatCode="0.0_ "/>
    <numFmt numFmtId="181" formatCode="###,###,##0&quot;）&quot;"/>
    <numFmt numFmtId="182" formatCode="###,###,###,##0&quot;円&quot;"/>
    <numFmt numFmtId="183" formatCode="#,##0_);[Red]\(#,##0\)"/>
    <numFmt numFmtId="184" formatCode="#,##0.00_ ;[Red]\-#,##0.00\ "/>
    <numFmt numFmtId="185" formatCode="#,##0_ "/>
    <numFmt numFmtId="186" formatCode="#,##0_ ;[Red]\-#,##0\ "/>
  </numFmts>
  <fonts count="71" x14ac:knownFonts="1">
    <font>
      <sz val="12"/>
      <color theme="1"/>
      <name val="ＭＳ Ｐゴシック"/>
      <family val="2"/>
      <charset val="128"/>
      <scheme val="minor"/>
    </font>
    <font>
      <sz val="6"/>
      <name val="ＭＳ Ｐゴシック"/>
      <family val="2"/>
      <charset val="128"/>
      <scheme val="minor"/>
    </font>
    <font>
      <sz val="12"/>
      <color theme="1"/>
      <name val="Century Gothic"/>
      <family val="2"/>
    </font>
    <font>
      <sz val="12"/>
      <color theme="1"/>
      <name val="ＭＳ Ｐゴシック"/>
      <family val="3"/>
      <charset val="128"/>
    </font>
    <font>
      <sz val="12"/>
      <color theme="1"/>
      <name val="ＭＳ 明朝"/>
      <family val="1"/>
      <charset val="128"/>
    </font>
    <font>
      <sz val="11"/>
      <color theme="1"/>
      <name val="ＭＳ 明朝"/>
      <family val="1"/>
      <charset val="128"/>
    </font>
    <font>
      <sz val="10"/>
      <color theme="1"/>
      <name val="ＭＳ 明朝"/>
      <family val="1"/>
      <charset val="128"/>
    </font>
    <font>
      <sz val="11"/>
      <color theme="1"/>
      <name val="Century Gothic"/>
      <family val="2"/>
    </font>
    <font>
      <sz val="10"/>
      <color theme="1"/>
      <name val="Century Gothic"/>
      <family val="2"/>
    </font>
    <font>
      <sz val="14"/>
      <color theme="1"/>
      <name val="ＭＳ 明朝"/>
      <family val="1"/>
      <charset val="128"/>
    </font>
    <font>
      <sz val="14"/>
      <color theme="1"/>
      <name val="Century Gothic"/>
      <family val="2"/>
    </font>
    <font>
      <b/>
      <sz val="16"/>
      <color theme="1"/>
      <name val="ＭＳ ゴシック"/>
      <family val="3"/>
      <charset val="128"/>
    </font>
    <font>
      <u/>
      <sz val="12"/>
      <color theme="1"/>
      <name val="ＭＳ ゴシック"/>
      <family val="3"/>
      <charset val="128"/>
    </font>
    <font>
      <sz val="11"/>
      <color theme="1"/>
      <name val="ＭＳ ゴシック"/>
      <family val="3"/>
      <charset val="128"/>
    </font>
    <font>
      <sz val="10"/>
      <color theme="1"/>
      <name val="ＭＳ Ｐゴシック"/>
      <family val="3"/>
      <charset val="128"/>
    </font>
    <font>
      <sz val="12"/>
      <color theme="1"/>
      <name val="ＭＳ ゴシック"/>
      <family val="3"/>
      <charset val="128"/>
    </font>
    <font>
      <sz val="10.5"/>
      <color theme="1"/>
      <name val="ＭＳ 明朝"/>
      <family val="1"/>
      <charset val="128"/>
    </font>
    <font>
      <sz val="18"/>
      <color theme="1"/>
      <name val="ＭＳ 明朝"/>
      <family val="1"/>
      <charset val="128"/>
    </font>
    <font>
      <sz val="10.5"/>
      <color theme="1"/>
      <name val="Century Gothic"/>
      <family val="2"/>
    </font>
    <font>
      <sz val="9"/>
      <color theme="1"/>
      <name val="ＭＳ 明朝"/>
      <family val="1"/>
      <charset val="128"/>
    </font>
    <font>
      <sz val="9"/>
      <color theme="1"/>
      <name val="Century Gothic"/>
      <family val="2"/>
    </font>
    <font>
      <sz val="13"/>
      <color theme="1"/>
      <name val="ＭＳ ゴシック"/>
      <family val="3"/>
      <charset val="128"/>
    </font>
    <font>
      <sz val="12"/>
      <color theme="1"/>
      <name val="ＭＳ 明朝"/>
      <family val="2"/>
      <charset val="128"/>
    </font>
    <font>
      <sz val="12"/>
      <color theme="1"/>
      <name val="ＭＳ 明朝"/>
      <family val="3"/>
      <charset val="128"/>
    </font>
    <font>
      <sz val="11"/>
      <name val="ＭＳ Ｐゴシック"/>
      <family val="3"/>
      <charset val="128"/>
    </font>
    <font>
      <b/>
      <sz val="12"/>
      <name val="ＭＳ ゴシック"/>
      <family val="3"/>
      <charset val="128"/>
    </font>
    <font>
      <b/>
      <sz val="20"/>
      <color indexed="18"/>
      <name val="ＭＳ Ｐゴシック"/>
      <family val="3"/>
      <charset val="128"/>
    </font>
    <font>
      <b/>
      <sz val="12"/>
      <name val="HG丸ｺﾞｼｯｸM-PRO"/>
      <family val="3"/>
      <charset val="128"/>
    </font>
    <font>
      <sz val="6"/>
      <name val="ＭＳ Ｐゴシック"/>
      <family val="3"/>
      <charset val="128"/>
    </font>
    <font>
      <sz val="14"/>
      <name val="ＭＳ Ｐ明朝"/>
      <family val="1"/>
      <charset val="128"/>
    </font>
    <font>
      <b/>
      <sz val="16"/>
      <name val="ＭＳ Ｐゴシック"/>
      <family val="3"/>
      <charset val="128"/>
    </font>
    <font>
      <b/>
      <sz val="18"/>
      <color indexed="18"/>
      <name val="ＭＳ Ｐゴシック"/>
      <family val="3"/>
      <charset val="128"/>
    </font>
    <font>
      <b/>
      <sz val="14"/>
      <color indexed="10"/>
      <name val="ＭＳ Ｐ明朝"/>
      <family val="1"/>
      <charset val="128"/>
    </font>
    <font>
      <b/>
      <sz val="16"/>
      <name val="ＭＳ Ｐ明朝"/>
      <family val="1"/>
      <charset val="128"/>
    </font>
    <font>
      <b/>
      <sz val="18"/>
      <name val="ＭＳ Ｐゴシック"/>
      <family val="3"/>
      <charset val="128"/>
    </font>
    <font>
      <b/>
      <sz val="16"/>
      <color indexed="10"/>
      <name val="ＭＳ Ｐ明朝"/>
      <family val="1"/>
      <charset val="128"/>
    </font>
    <font>
      <b/>
      <sz val="12"/>
      <color rgb="FFFF0000"/>
      <name val="ＭＳ ゴシック"/>
      <family val="3"/>
      <charset val="128"/>
    </font>
    <font>
      <b/>
      <sz val="10"/>
      <color indexed="10"/>
      <name val="ＭＳ ゴシック"/>
      <family val="3"/>
      <charset val="128"/>
    </font>
    <font>
      <b/>
      <sz val="11"/>
      <name val="ＭＳ ゴシック"/>
      <family val="3"/>
      <charset val="128"/>
    </font>
    <font>
      <b/>
      <sz val="20"/>
      <color rgb="FF0070C0"/>
      <name val="ＭＳ Ｐゴシック"/>
      <family val="3"/>
      <charset val="128"/>
    </font>
    <font>
      <b/>
      <sz val="12"/>
      <color rgb="FF0070C0"/>
      <name val="ＭＳ ゴシック"/>
      <family val="3"/>
      <charset val="128"/>
    </font>
    <font>
      <b/>
      <u/>
      <sz val="16"/>
      <color theme="1"/>
      <name val="ＭＳ Ｐ明朝"/>
      <family val="1"/>
      <charset val="128"/>
    </font>
    <font>
      <b/>
      <i/>
      <u/>
      <sz val="16"/>
      <name val="ＭＳ Ｐ明朝"/>
      <family val="1"/>
      <charset val="128"/>
    </font>
    <font>
      <b/>
      <sz val="10"/>
      <name val="ＭＳ ゴシック"/>
      <family val="3"/>
      <charset val="128"/>
    </font>
    <font>
      <b/>
      <sz val="14"/>
      <name val="ＭＳ ゴシック"/>
      <family val="3"/>
      <charset val="128"/>
    </font>
    <font>
      <b/>
      <sz val="16"/>
      <name val="ＭＳ ゴシック"/>
      <family val="3"/>
      <charset val="128"/>
    </font>
    <font>
      <b/>
      <sz val="16"/>
      <color indexed="30"/>
      <name val="ＭＳ Ｐ明朝"/>
      <family val="1"/>
      <charset val="128"/>
    </font>
    <font>
      <b/>
      <sz val="16"/>
      <color rgb="FFFF0000"/>
      <name val="ＭＳ Ｐ明朝"/>
      <family val="1"/>
      <charset val="128"/>
    </font>
    <font>
      <b/>
      <sz val="14"/>
      <color rgb="FFFF0000"/>
      <name val="ＭＳ ゴシック"/>
      <family val="3"/>
      <charset val="128"/>
    </font>
    <font>
      <sz val="14"/>
      <name val="ＭＳ Ｐゴシック"/>
      <family val="3"/>
      <charset val="128"/>
    </font>
    <font>
      <b/>
      <u/>
      <sz val="16"/>
      <name val="ＭＳ Ｐ明朝"/>
      <family val="1"/>
      <charset val="128"/>
    </font>
    <font>
      <sz val="12"/>
      <name val="ＭＳ ゴシック"/>
      <family val="3"/>
      <charset val="128"/>
    </font>
    <font>
      <b/>
      <i/>
      <u/>
      <sz val="16"/>
      <color theme="1"/>
      <name val="ＭＳ Ｐ明朝"/>
      <family val="1"/>
      <charset val="128"/>
    </font>
    <font>
      <b/>
      <sz val="14"/>
      <color rgb="FFFF0000"/>
      <name val="ＭＳ Ｐゴシック"/>
      <family val="3"/>
      <charset val="128"/>
    </font>
    <font>
      <b/>
      <sz val="16"/>
      <color theme="1"/>
      <name val="ＭＳ Ｐ明朝"/>
      <family val="1"/>
      <charset val="128"/>
    </font>
    <font>
      <b/>
      <sz val="13"/>
      <name val="ＭＳ Ｐゴシック"/>
      <family val="3"/>
      <charset val="128"/>
    </font>
    <font>
      <b/>
      <sz val="12"/>
      <name val="ＭＳ Ｐゴシック"/>
      <family val="3"/>
      <charset val="128"/>
    </font>
    <font>
      <b/>
      <sz val="11"/>
      <name val="ＭＳ Ｐゴシック"/>
      <family val="3"/>
      <charset val="128"/>
    </font>
    <font>
      <sz val="12"/>
      <name val="ＭＳ Ｐゴシック"/>
      <family val="3"/>
      <charset val="128"/>
    </font>
    <font>
      <sz val="16"/>
      <name val="ＭＳ ゴシック"/>
      <family val="3"/>
      <charset val="128"/>
    </font>
    <font>
      <b/>
      <sz val="17"/>
      <color indexed="18"/>
      <name val="ＭＳ Ｐ明朝"/>
      <family val="1"/>
      <charset val="128"/>
    </font>
    <font>
      <b/>
      <sz val="16"/>
      <color indexed="18"/>
      <name val="ＭＳ Ｐゴシック"/>
      <family val="3"/>
      <charset val="128"/>
    </font>
    <font>
      <sz val="12"/>
      <name val="ＭＳ Ｐ明朝"/>
      <family val="1"/>
      <charset val="128"/>
    </font>
    <font>
      <sz val="16"/>
      <name val="ＭＳ Ｐゴシック"/>
      <family val="3"/>
      <charset val="128"/>
    </font>
    <font>
      <b/>
      <u/>
      <sz val="13"/>
      <name val="ＭＳ Ｐゴシック"/>
      <family val="3"/>
      <charset val="128"/>
    </font>
    <font>
      <sz val="11"/>
      <name val="ＭＳ Ｐ明朝"/>
      <family val="1"/>
      <charset val="128"/>
    </font>
    <font>
      <u/>
      <sz val="12"/>
      <name val="ＭＳ Ｐゴシック"/>
      <family val="3"/>
      <charset val="128"/>
    </font>
    <font>
      <sz val="16"/>
      <name val="ＭＳ Ｐ明朝"/>
      <family val="1"/>
      <charset val="128"/>
    </font>
    <font>
      <b/>
      <sz val="16"/>
      <color theme="5"/>
      <name val="ＭＳ Ｐ明朝"/>
      <family val="1"/>
      <charset val="128"/>
    </font>
    <font>
      <sz val="11"/>
      <color theme="5"/>
      <name val="ＭＳ Ｐゴシック"/>
      <family val="3"/>
      <charset val="128"/>
    </font>
    <font>
      <sz val="11"/>
      <color theme="1"/>
      <name val="ＭＳ Ｐゴシック"/>
      <family val="3"/>
      <charset val="128"/>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indexed="13"/>
        <bgColor indexed="64"/>
      </patternFill>
    </fill>
    <fill>
      <patternFill patternType="solid">
        <fgColor rgb="FFFFFF00"/>
        <bgColor indexed="64"/>
      </patternFill>
    </fill>
    <fill>
      <patternFill patternType="solid">
        <fgColor theme="9" tint="0.3999450666829432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92D050"/>
        <bgColor indexed="64"/>
      </patternFill>
    </fill>
    <fill>
      <patternFill patternType="solid">
        <fgColor theme="0"/>
        <bgColor indexed="64"/>
      </patternFill>
    </fill>
  </fills>
  <borders count="23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top style="medium">
        <color auto="1"/>
      </top>
      <bottom style="hair">
        <color auto="1"/>
      </bottom>
      <diagonal/>
    </border>
    <border>
      <left style="hair">
        <color auto="1"/>
      </left>
      <right/>
      <top style="hair">
        <color auto="1"/>
      </top>
      <bottom style="medium">
        <color auto="1"/>
      </bottom>
      <diagonal/>
    </border>
    <border>
      <left style="hair">
        <color auto="1"/>
      </left>
      <right/>
      <top/>
      <bottom style="hair">
        <color auto="1"/>
      </bottom>
      <diagonal/>
    </border>
    <border>
      <left style="hair">
        <color auto="1"/>
      </left>
      <right/>
      <top style="hair">
        <color auto="1"/>
      </top>
      <bottom style="hair">
        <color auto="1"/>
      </bottom>
      <diagonal/>
    </border>
    <border>
      <left/>
      <right style="hair">
        <color auto="1"/>
      </right>
      <top style="medium">
        <color auto="1"/>
      </top>
      <bottom style="hair">
        <color auto="1"/>
      </bottom>
      <diagonal/>
    </border>
    <border>
      <left/>
      <right style="hair">
        <color auto="1"/>
      </right>
      <top style="hair">
        <color auto="1"/>
      </top>
      <bottom style="medium">
        <color auto="1"/>
      </bottom>
      <diagonal/>
    </border>
    <border>
      <left/>
      <right style="hair">
        <color auto="1"/>
      </right>
      <top/>
      <bottom style="hair">
        <color auto="1"/>
      </bottom>
      <diagonal/>
    </border>
    <border>
      <left/>
      <right style="hair">
        <color auto="1"/>
      </right>
      <top style="hair">
        <color auto="1"/>
      </top>
      <bottom style="hair">
        <color auto="1"/>
      </bottom>
      <diagonal/>
    </border>
    <border>
      <left style="medium">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medium">
        <color auto="1"/>
      </left>
      <right style="hair">
        <color auto="1"/>
      </right>
      <top style="double">
        <color auto="1"/>
      </top>
      <bottom style="medium">
        <color auto="1"/>
      </bottom>
      <diagonal/>
    </border>
    <border>
      <left style="hair">
        <color auto="1"/>
      </left>
      <right/>
      <top style="double">
        <color auto="1"/>
      </top>
      <bottom style="medium">
        <color auto="1"/>
      </bottom>
      <diagonal/>
    </border>
    <border>
      <left style="hair">
        <color auto="1"/>
      </left>
      <right style="hair">
        <color auto="1"/>
      </right>
      <top style="double">
        <color auto="1"/>
      </top>
      <bottom style="medium">
        <color auto="1"/>
      </bottom>
      <diagonal/>
    </border>
    <border>
      <left style="hair">
        <color auto="1"/>
      </left>
      <right style="medium">
        <color auto="1"/>
      </right>
      <top style="double">
        <color auto="1"/>
      </top>
      <bottom style="medium">
        <color auto="1"/>
      </bottom>
      <diagonal/>
    </border>
    <border>
      <left/>
      <right style="hair">
        <color auto="1"/>
      </right>
      <top style="double">
        <color auto="1"/>
      </top>
      <bottom style="medium">
        <color auto="1"/>
      </bottom>
      <diagonal/>
    </border>
    <border>
      <left style="medium">
        <color auto="1"/>
      </left>
      <right style="hair">
        <color auto="1"/>
      </right>
      <top/>
      <bottom/>
      <diagonal/>
    </border>
    <border>
      <left style="hair">
        <color auto="1"/>
      </left>
      <right/>
      <top/>
      <bottom/>
      <diagonal/>
    </border>
    <border>
      <left style="hair">
        <color auto="1"/>
      </left>
      <right style="hair">
        <color auto="1"/>
      </right>
      <top/>
      <bottom/>
      <diagonal/>
    </border>
    <border>
      <left style="hair">
        <color auto="1"/>
      </left>
      <right style="medium">
        <color auto="1"/>
      </right>
      <top/>
      <bottom/>
      <diagonal/>
    </border>
    <border>
      <left/>
      <right style="hair">
        <color auto="1"/>
      </right>
      <top/>
      <bottom/>
      <diagonal/>
    </border>
    <border>
      <left/>
      <right style="medium">
        <color auto="1"/>
      </right>
      <top style="double">
        <color auto="1"/>
      </top>
      <bottom style="medium">
        <color auto="1"/>
      </bottom>
      <diagonal/>
    </border>
    <border>
      <left style="thin">
        <color auto="1"/>
      </left>
      <right style="hair">
        <color auto="1"/>
      </right>
      <top style="medium">
        <color auto="1"/>
      </top>
      <bottom style="hair">
        <color auto="1"/>
      </bottom>
      <diagonal/>
    </border>
    <border>
      <left style="thin">
        <color auto="1"/>
      </left>
      <right style="hair">
        <color auto="1"/>
      </right>
      <top style="hair">
        <color auto="1"/>
      </top>
      <bottom style="hair">
        <color auto="1"/>
      </bottom>
      <diagonal/>
    </border>
    <border>
      <left style="thin">
        <color auto="1"/>
      </left>
      <right style="medium">
        <color auto="1"/>
      </right>
      <top style="medium">
        <color auto="1"/>
      </top>
      <bottom style="double">
        <color auto="1"/>
      </bottom>
      <diagonal/>
    </border>
    <border>
      <left style="thin">
        <color auto="1"/>
      </left>
      <right style="hair">
        <color auto="1"/>
      </right>
      <top style="hair">
        <color auto="1"/>
      </top>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thin">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medium">
        <color auto="1"/>
      </right>
      <top style="hair">
        <color auto="1"/>
      </top>
      <bottom style="double">
        <color auto="1"/>
      </bottom>
      <diagonal/>
    </border>
    <border>
      <left style="thin">
        <color auto="1"/>
      </left>
      <right style="medium">
        <color auto="1"/>
      </right>
      <top style="double">
        <color auto="1"/>
      </top>
      <bottom style="medium">
        <color auto="1"/>
      </bottom>
      <diagonal/>
    </border>
    <border>
      <left style="thin">
        <color auto="1"/>
      </left>
      <right style="hair">
        <color auto="1"/>
      </right>
      <top style="double">
        <color auto="1"/>
      </top>
      <bottom style="medium">
        <color auto="1"/>
      </bottom>
      <diagonal/>
    </border>
    <border>
      <left style="thin">
        <color auto="1"/>
      </left>
      <right style="hair">
        <color auto="1"/>
      </right>
      <top style="medium">
        <color auto="1"/>
      </top>
      <bottom style="double">
        <color auto="1"/>
      </bottom>
      <diagonal/>
    </border>
    <border>
      <left style="hair">
        <color auto="1"/>
      </left>
      <right style="hair">
        <color auto="1"/>
      </right>
      <top style="medium">
        <color auto="1"/>
      </top>
      <bottom style="double">
        <color auto="1"/>
      </bottom>
      <diagonal/>
    </border>
    <border>
      <left style="hair">
        <color auto="1"/>
      </left>
      <right style="medium">
        <color auto="1"/>
      </right>
      <top style="medium">
        <color auto="1"/>
      </top>
      <bottom style="double">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thin">
        <color auto="1"/>
      </right>
      <top style="hair">
        <color auto="1"/>
      </top>
      <bottom/>
      <diagonal/>
    </border>
    <border>
      <left style="thin">
        <color auto="1"/>
      </left>
      <right style="medium">
        <color auto="1"/>
      </right>
      <top style="hair">
        <color auto="1"/>
      </top>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thin">
        <color auto="1"/>
      </right>
      <top style="hair">
        <color auto="1"/>
      </top>
      <bottom style="double">
        <color auto="1"/>
      </bottom>
      <diagonal/>
    </border>
    <border>
      <left style="thin">
        <color auto="1"/>
      </left>
      <right style="medium">
        <color auto="1"/>
      </right>
      <top style="hair">
        <color auto="1"/>
      </top>
      <bottom style="double">
        <color auto="1"/>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style="thin">
        <color auto="1"/>
      </right>
      <top style="medium">
        <color auto="1"/>
      </top>
      <bottom style="double">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hair">
        <color auto="1"/>
      </left>
      <right style="hair">
        <color auto="1"/>
      </right>
      <top style="medium">
        <color auto="1"/>
      </top>
      <bottom/>
      <diagonal/>
    </border>
    <border>
      <left style="medium">
        <color auto="1"/>
      </left>
      <right style="hair">
        <color auto="1"/>
      </right>
      <top/>
      <bottom style="medium">
        <color auto="1"/>
      </bottom>
      <diagonal/>
    </border>
    <border>
      <left style="hair">
        <color auto="1"/>
      </left>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hair">
        <color auto="1"/>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hair">
        <color auto="1"/>
      </right>
      <top style="medium">
        <color auto="1"/>
      </top>
      <bottom/>
      <diagonal/>
    </border>
    <border>
      <left/>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hair">
        <color auto="1"/>
      </top>
      <bottom style="medium">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right/>
      <top/>
      <bottom style="hair">
        <color auto="1"/>
      </bottom>
      <diagonal/>
    </border>
    <border>
      <left/>
      <right style="medium">
        <color auto="1"/>
      </right>
      <top/>
      <bottom style="hair">
        <color auto="1"/>
      </bottom>
      <diagonal/>
    </border>
    <border>
      <left/>
      <right style="medium">
        <color auto="1"/>
      </right>
      <top style="medium">
        <color auto="1"/>
      </top>
      <bottom style="medium">
        <color auto="1"/>
      </bottom>
      <diagonal/>
    </border>
    <border>
      <left style="thin">
        <color auto="1"/>
      </left>
      <right/>
      <top/>
      <bottom style="hair">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hair">
        <color auto="1"/>
      </bottom>
      <diagonal/>
    </border>
    <border>
      <left/>
      <right style="medium">
        <color auto="1"/>
      </right>
      <top style="thin">
        <color auto="1"/>
      </top>
      <bottom style="hair">
        <color auto="1"/>
      </bottom>
      <diagonal/>
    </border>
    <border>
      <left/>
      <right/>
      <top style="thin">
        <color auto="1"/>
      </top>
      <bottom/>
      <diagonal/>
    </border>
    <border>
      <left/>
      <right style="medium">
        <color auto="1"/>
      </right>
      <top style="thin">
        <color auto="1"/>
      </top>
      <bottom/>
      <diagonal/>
    </border>
    <border>
      <left style="medium">
        <color auto="1"/>
      </left>
      <right style="thin">
        <color auto="1"/>
      </right>
      <top style="thin">
        <color auto="1"/>
      </top>
      <bottom style="hair">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diagonal/>
    </border>
    <border>
      <left style="medium">
        <color auto="1"/>
      </left>
      <right/>
      <top style="double">
        <color auto="1"/>
      </top>
      <bottom style="medium">
        <color auto="1"/>
      </bottom>
      <diagonal/>
    </border>
    <border>
      <left/>
      <right/>
      <top style="double">
        <color auto="1"/>
      </top>
      <bottom style="medium">
        <color auto="1"/>
      </bottom>
      <diagonal/>
    </border>
    <border>
      <left style="thin">
        <color auto="1"/>
      </left>
      <right/>
      <top style="hair">
        <color auto="1"/>
      </top>
      <bottom style="double">
        <color auto="1"/>
      </bottom>
      <diagonal/>
    </border>
    <border>
      <left/>
      <right/>
      <top style="hair">
        <color auto="1"/>
      </top>
      <bottom style="double">
        <color auto="1"/>
      </bottom>
      <diagonal/>
    </border>
    <border>
      <left/>
      <right style="medium">
        <color auto="1"/>
      </right>
      <top style="hair">
        <color auto="1"/>
      </top>
      <bottom style="double">
        <color auto="1"/>
      </bottom>
      <diagonal/>
    </border>
    <border>
      <left style="thin">
        <color auto="1"/>
      </left>
      <right/>
      <top style="thin">
        <color auto="1"/>
      </top>
      <bottom style="hair">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hair">
        <color auto="1"/>
      </left>
      <right/>
      <top style="hair">
        <color auto="1"/>
      </top>
      <bottom style="thin">
        <color auto="1"/>
      </bottom>
      <diagonal/>
    </border>
    <border>
      <left/>
      <right/>
      <top style="hair">
        <color auto="1"/>
      </top>
      <bottom style="thin">
        <color auto="1"/>
      </bottom>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style="medium">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right style="thin">
        <color auto="1"/>
      </right>
      <top style="thin">
        <color auto="1"/>
      </top>
      <bottom style="thin">
        <color auto="1"/>
      </bottom>
      <diagonal/>
    </border>
    <border>
      <left style="medium">
        <color auto="1"/>
      </left>
      <right style="thin">
        <color auto="1"/>
      </right>
      <top/>
      <bottom style="medium">
        <color auto="1"/>
      </bottom>
      <diagonal/>
    </border>
    <border>
      <left style="medium">
        <color auto="1"/>
      </left>
      <right/>
      <top style="medium">
        <color auto="1"/>
      </top>
      <bottom style="medium">
        <color auto="1"/>
      </bottom>
      <diagonal/>
    </border>
    <border>
      <left/>
      <right style="thin">
        <color auto="1"/>
      </right>
      <top style="double">
        <color auto="1"/>
      </top>
      <bottom style="medium">
        <color auto="1"/>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hair">
        <color auto="1"/>
      </left>
      <right/>
      <top style="hair">
        <color auto="1"/>
      </top>
      <bottom style="double">
        <color auto="1"/>
      </bottom>
      <diagonal/>
    </border>
    <border>
      <left/>
      <right style="hair">
        <color auto="1"/>
      </right>
      <top style="hair">
        <color auto="1"/>
      </top>
      <bottom style="double">
        <color auto="1"/>
      </bottom>
      <diagonal/>
    </border>
    <border>
      <left style="hair">
        <color auto="1"/>
      </left>
      <right style="medium">
        <color auto="1"/>
      </right>
      <top/>
      <bottom style="double">
        <color auto="1"/>
      </bottom>
      <diagonal/>
    </border>
    <border>
      <left style="medium">
        <color auto="1"/>
      </left>
      <right style="medium">
        <color auto="1"/>
      </right>
      <top style="medium">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hair">
        <color auto="1"/>
      </bottom>
      <diagonal/>
    </border>
    <border>
      <left style="hair">
        <color auto="1"/>
      </left>
      <right/>
      <top style="medium">
        <color auto="1"/>
      </top>
      <bottom style="medium">
        <color auto="1"/>
      </bottom>
      <diagonal/>
    </border>
    <border>
      <left/>
      <right style="hair">
        <color auto="1"/>
      </right>
      <top style="medium">
        <color auto="1"/>
      </top>
      <bottom style="medium">
        <color auto="1"/>
      </bottom>
      <diagonal/>
    </border>
    <border>
      <left style="thin">
        <color auto="1"/>
      </left>
      <right/>
      <top/>
      <bottom/>
      <diagonal/>
    </border>
    <border>
      <left style="thin">
        <color auto="1"/>
      </left>
      <right/>
      <top/>
      <bottom style="medium">
        <color auto="1"/>
      </bottom>
      <diagonal/>
    </border>
    <border>
      <left/>
      <right style="thin">
        <color auto="1"/>
      </right>
      <top style="thin">
        <color auto="1"/>
      </top>
      <bottom style="hair">
        <color auto="1"/>
      </bottom>
      <diagonal/>
    </border>
    <border>
      <left style="medium">
        <color auto="1"/>
      </left>
      <right/>
      <top style="thin">
        <color auto="1"/>
      </top>
      <bottom style="hair">
        <color auto="1"/>
      </bottom>
      <diagonal/>
    </border>
    <border>
      <left style="medium">
        <color auto="1"/>
      </left>
      <right style="hair">
        <color auto="1"/>
      </right>
      <top style="thin">
        <color auto="1"/>
      </top>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thin">
        <color auto="1"/>
      </left>
      <right/>
      <top style="thin">
        <color auto="1"/>
      </top>
      <bottom/>
      <diagonal/>
    </border>
    <border>
      <left style="thin">
        <color auto="1"/>
      </left>
      <right/>
      <top style="double">
        <color auto="1"/>
      </top>
      <bottom style="medium">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style="double">
        <color indexed="64"/>
      </right>
      <top/>
      <bottom style="double">
        <color indexed="64"/>
      </bottom>
      <diagonal/>
    </border>
    <border>
      <left style="thick">
        <color indexed="64"/>
      </left>
      <right style="thick">
        <color indexed="64"/>
      </right>
      <top style="thick">
        <color indexed="64"/>
      </top>
      <bottom style="thick">
        <color indexed="64"/>
      </bottom>
      <diagonal/>
    </border>
    <border>
      <left/>
      <right style="thin">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n">
        <color indexed="64"/>
      </right>
      <top/>
      <bottom/>
      <diagonal/>
    </border>
    <border>
      <left style="thick">
        <color indexed="64"/>
      </left>
      <right/>
      <top/>
      <bottom/>
      <diagonal/>
    </border>
    <border>
      <left/>
      <right style="thick">
        <color indexed="64"/>
      </right>
      <top/>
      <bottom/>
      <diagonal/>
    </border>
    <border>
      <left style="double">
        <color rgb="FF0070C0"/>
      </left>
      <right style="double">
        <color rgb="FF0070C0"/>
      </right>
      <top style="double">
        <color rgb="FF0070C0"/>
      </top>
      <bottom/>
      <diagonal/>
    </border>
    <border>
      <left style="double">
        <color rgb="FF0070C0"/>
      </left>
      <right style="double">
        <color rgb="FF0070C0"/>
      </right>
      <top/>
      <bottom style="double">
        <color rgb="FF0070C0"/>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diagonal/>
    </border>
    <border>
      <left style="medium">
        <color auto="1"/>
      </left>
      <right/>
      <top style="thin">
        <color auto="1"/>
      </top>
      <bottom style="medium">
        <color auto="1"/>
      </bottom>
      <diagonal/>
    </border>
    <border>
      <left style="thin">
        <color auto="1"/>
      </left>
      <right/>
      <top/>
      <bottom style="thick">
        <color auto="1"/>
      </bottom>
      <diagonal/>
    </border>
    <border>
      <left/>
      <right style="thin">
        <color auto="1"/>
      </right>
      <top/>
      <bottom style="thick">
        <color auto="1"/>
      </bottom>
      <diagonal/>
    </border>
    <border>
      <left/>
      <right style="thin">
        <color auto="1"/>
      </right>
      <top style="hair">
        <color auto="1"/>
      </top>
      <bottom style="double">
        <color auto="1"/>
      </bottom>
      <diagonal/>
    </border>
  </borders>
  <cellStyleXfs count="3">
    <xf numFmtId="0" fontId="0" fillId="0" borderId="0">
      <alignment vertical="center"/>
    </xf>
    <xf numFmtId="0" fontId="24" fillId="0" borderId="0"/>
    <xf numFmtId="38" fontId="24" fillId="0" borderId="0" applyFont="0" applyFill="0" applyBorder="0" applyAlignment="0" applyProtection="0"/>
  </cellStyleXfs>
  <cellXfs count="815">
    <xf numFmtId="0" fontId="0" fillId="0" borderId="0" xfId="0">
      <alignment vertical="center"/>
    </xf>
    <xf numFmtId="0" fontId="4" fillId="0" borderId="0" xfId="0" applyFont="1">
      <alignment vertical="center"/>
    </xf>
    <xf numFmtId="0" fontId="4" fillId="0" borderId="0" xfId="0" applyFont="1" applyAlignment="1">
      <alignment horizontal="center" vertical="center"/>
    </xf>
    <xf numFmtId="0" fontId="4" fillId="0" borderId="0" xfId="0" applyFont="1" applyAlignment="1">
      <alignment horizontal="center" vertical="center"/>
    </xf>
    <xf numFmtId="10" fontId="2" fillId="0" borderId="0" xfId="0" applyNumberFormat="1" applyFont="1" applyBorder="1" applyAlignment="1">
      <alignment vertical="center"/>
    </xf>
    <xf numFmtId="176" fontId="2" fillId="0" borderId="0" xfId="0" applyNumberFormat="1" applyFont="1" applyBorder="1" applyAlignment="1">
      <alignment vertical="center"/>
    </xf>
    <xf numFmtId="0" fontId="4" fillId="0" borderId="0" xfId="0" applyFont="1" applyBorder="1" applyAlignment="1">
      <alignment horizontal="center" vertical="center"/>
    </xf>
    <xf numFmtId="0" fontId="4" fillId="0" borderId="18" xfId="0" applyFont="1" applyBorder="1">
      <alignment vertical="center"/>
    </xf>
    <xf numFmtId="0" fontId="2" fillId="0" borderId="21" xfId="0" applyFont="1" applyBorder="1" applyAlignment="1">
      <alignment horizontal="center" vertical="center"/>
    </xf>
    <xf numFmtId="0" fontId="2" fillId="0" borderId="23" xfId="0" applyFont="1" applyBorder="1" applyAlignment="1">
      <alignment horizontal="center" vertical="center"/>
    </xf>
    <xf numFmtId="0" fontId="4" fillId="0" borderId="24" xfId="0" applyFont="1" applyBorder="1" applyAlignment="1">
      <alignment horizontal="center" vertical="center"/>
    </xf>
    <xf numFmtId="0" fontId="2" fillId="0" borderId="18" xfId="0" applyFont="1" applyBorder="1" applyAlignment="1">
      <alignment horizontal="center" vertical="center"/>
    </xf>
    <xf numFmtId="0" fontId="4" fillId="0" borderId="19" xfId="0" applyFont="1" applyBorder="1" applyAlignment="1">
      <alignment horizontal="center" vertical="center"/>
    </xf>
    <xf numFmtId="0" fontId="5" fillId="0" borderId="0" xfId="0" applyFont="1">
      <alignment vertical="center"/>
    </xf>
    <xf numFmtId="0" fontId="5" fillId="0" borderId="30" xfId="0" applyFont="1" applyBorder="1" applyAlignment="1">
      <alignment horizontal="center" vertical="center"/>
    </xf>
    <xf numFmtId="0" fontId="5" fillId="0" borderId="36" xfId="0" applyFont="1" applyBorder="1" applyAlignment="1">
      <alignment horizontal="center" vertical="center"/>
    </xf>
    <xf numFmtId="0" fontId="5" fillId="0" borderId="33" xfId="0" applyFont="1" applyBorder="1" applyAlignment="1">
      <alignment horizontal="center" vertical="center"/>
    </xf>
    <xf numFmtId="0" fontId="5" fillId="0" borderId="43"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5" fillId="0" borderId="32" xfId="0" applyFont="1" applyBorder="1" applyAlignment="1">
      <alignment horizontal="center" vertical="center"/>
    </xf>
    <xf numFmtId="0" fontId="7" fillId="0" borderId="35" xfId="0" applyFont="1" applyBorder="1" applyAlignment="1">
      <alignment horizontal="center" vertical="center"/>
    </xf>
    <xf numFmtId="0" fontId="5" fillId="0" borderId="48" xfId="0" applyFont="1" applyBorder="1" applyAlignment="1">
      <alignment horizontal="center" vertical="center"/>
    </xf>
    <xf numFmtId="0" fontId="7" fillId="0" borderId="50" xfId="0" applyFont="1" applyBorder="1" applyAlignment="1">
      <alignment horizontal="center" vertical="center"/>
    </xf>
    <xf numFmtId="0" fontId="5" fillId="0" borderId="51" xfId="0" applyFont="1" applyBorder="1">
      <alignment vertical="center"/>
    </xf>
    <xf numFmtId="0" fontId="5" fillId="0" borderId="53" xfId="0" applyFont="1" applyBorder="1">
      <alignment vertical="center"/>
    </xf>
    <xf numFmtId="0" fontId="5" fillId="0" borderId="55" xfId="0" applyFont="1" applyBorder="1">
      <alignment vertical="center"/>
    </xf>
    <xf numFmtId="0" fontId="5" fillId="0" borderId="58" xfId="0" applyFont="1" applyBorder="1" applyAlignment="1">
      <alignment horizontal="center" vertical="center"/>
    </xf>
    <xf numFmtId="0" fontId="7" fillId="0" borderId="60" xfId="0" applyFont="1" applyBorder="1" applyAlignment="1">
      <alignment horizontal="center" vertical="center"/>
    </xf>
    <xf numFmtId="0" fontId="4" fillId="0" borderId="51" xfId="0" applyFont="1" applyBorder="1">
      <alignment vertical="center"/>
    </xf>
    <xf numFmtId="0" fontId="4" fillId="0" borderId="53" xfId="0" applyFont="1" applyBorder="1">
      <alignment vertical="center"/>
    </xf>
    <xf numFmtId="0" fontId="4" fillId="0" borderId="55" xfId="0" applyFont="1" applyBorder="1">
      <alignment vertical="center"/>
    </xf>
    <xf numFmtId="0" fontId="5" fillId="0" borderId="44" xfId="0" applyFont="1" applyBorder="1" applyAlignment="1">
      <alignment horizontal="center" vertical="center"/>
    </xf>
    <xf numFmtId="0" fontId="7" fillId="0" borderId="55" xfId="0" applyFont="1" applyBorder="1" applyAlignment="1">
      <alignment horizontal="center" vertical="center"/>
    </xf>
    <xf numFmtId="0" fontId="5" fillId="0" borderId="37" xfId="0" applyFont="1" applyBorder="1" applyAlignment="1">
      <alignment horizontal="center" vertical="center"/>
    </xf>
    <xf numFmtId="0" fontId="7" fillId="0" borderId="51" xfId="0" applyFont="1" applyBorder="1" applyAlignment="1">
      <alignment horizontal="center" vertical="center"/>
    </xf>
    <xf numFmtId="0" fontId="7" fillId="0" borderId="61" xfId="0" applyFont="1" applyBorder="1" applyAlignment="1">
      <alignment horizontal="center" vertical="center"/>
    </xf>
    <xf numFmtId="0" fontId="5" fillId="0" borderId="35" xfId="0" applyFont="1" applyBorder="1" applyAlignment="1">
      <alignment horizontal="center" vertical="center"/>
    </xf>
    <xf numFmtId="0" fontId="2" fillId="0" borderId="61" xfId="0" applyFont="1" applyBorder="1" applyAlignment="1">
      <alignment horizontal="center" vertical="center"/>
    </xf>
    <xf numFmtId="0" fontId="7" fillId="0" borderId="35" xfId="0" applyFont="1" applyFill="1" applyBorder="1" applyAlignment="1">
      <alignment horizontal="center" vertical="center"/>
    </xf>
    <xf numFmtId="0" fontId="7" fillId="0" borderId="29"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51" xfId="0" applyFont="1" applyFill="1" applyBorder="1">
      <alignment vertical="center"/>
    </xf>
    <xf numFmtId="0" fontId="7" fillId="0" borderId="56" xfId="0" applyFont="1" applyFill="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2" fillId="0" borderId="144" xfId="0" applyFont="1" applyBorder="1">
      <alignment vertical="center"/>
    </xf>
    <xf numFmtId="177" fontId="4" fillId="0" borderId="0" xfId="0" applyNumberFormat="1" applyFont="1" applyBorder="1" applyAlignment="1">
      <alignment horizontal="center" vertical="center"/>
    </xf>
    <xf numFmtId="0" fontId="16" fillId="0" borderId="0" xfId="0" applyFont="1" applyBorder="1" applyAlignment="1">
      <alignment vertical="center" wrapText="1"/>
    </xf>
    <xf numFmtId="0" fontId="4" fillId="0" borderId="24" xfId="0" applyFont="1" applyBorder="1">
      <alignment vertical="center"/>
    </xf>
    <xf numFmtId="0" fontId="5" fillId="0" borderId="170" xfId="0" applyFont="1" applyBorder="1" applyAlignment="1">
      <alignment vertical="center"/>
    </xf>
    <xf numFmtId="0" fontId="5" fillId="0" borderId="0" xfId="0" applyFont="1" applyBorder="1">
      <alignment vertical="center"/>
    </xf>
    <xf numFmtId="0" fontId="4" fillId="0" borderId="168" xfId="0" applyFont="1" applyBorder="1" applyAlignment="1">
      <alignment horizontal="center" vertical="center"/>
    </xf>
    <xf numFmtId="0" fontId="15" fillId="0" borderId="0" xfId="0" applyFont="1" applyAlignment="1"/>
    <xf numFmtId="0" fontId="5" fillId="0" borderId="28" xfId="0" applyFont="1" applyBorder="1" applyAlignment="1">
      <alignment horizontal="center" vertical="center"/>
    </xf>
    <xf numFmtId="0" fontId="5" fillId="0" borderId="177" xfId="0" applyFont="1" applyBorder="1" applyAlignment="1">
      <alignment horizontal="center" vertical="center"/>
    </xf>
    <xf numFmtId="0" fontId="4" fillId="0" borderId="167" xfId="0" applyFont="1" applyBorder="1" applyAlignment="1">
      <alignment horizontal="right" vertical="center"/>
    </xf>
    <xf numFmtId="0" fontId="4" fillId="0" borderId="170" xfId="0" applyFont="1" applyBorder="1" applyAlignment="1">
      <alignment horizontal="right" vertical="center"/>
    </xf>
    <xf numFmtId="0" fontId="4" fillId="0" borderId="172" xfId="0" applyFont="1" applyBorder="1" applyAlignment="1">
      <alignment horizontal="right" vertical="center"/>
    </xf>
    <xf numFmtId="0" fontId="2" fillId="3" borderId="178" xfId="0" applyFont="1" applyFill="1" applyBorder="1" applyAlignment="1">
      <alignment horizontal="center" vertical="center" shrinkToFit="1"/>
    </xf>
    <xf numFmtId="0" fontId="21" fillId="0" borderId="0" xfId="0" applyFont="1">
      <alignment vertical="center"/>
    </xf>
    <xf numFmtId="0" fontId="5" fillId="0" borderId="0" xfId="0" applyFont="1" applyAlignment="1">
      <alignment vertical="center"/>
    </xf>
    <xf numFmtId="0" fontId="4" fillId="0" borderId="126" xfId="0" applyFont="1" applyFill="1" applyBorder="1" applyAlignment="1">
      <alignment horizontal="center" vertical="center"/>
    </xf>
    <xf numFmtId="0" fontId="4" fillId="0" borderId="126" xfId="0" applyFont="1" applyFill="1" applyBorder="1" applyAlignment="1">
      <alignment vertical="center" shrinkToFit="1"/>
    </xf>
    <xf numFmtId="176" fontId="2" fillId="0" borderId="126" xfId="0" applyNumberFormat="1" applyFont="1" applyFill="1" applyBorder="1" applyAlignment="1">
      <alignment vertical="center"/>
    </xf>
    <xf numFmtId="0" fontId="4" fillId="0" borderId="0" xfId="0" applyFont="1" applyFill="1">
      <alignment vertical="center"/>
    </xf>
    <xf numFmtId="0" fontId="19" fillId="0" borderId="0" xfId="0" applyFont="1" applyBorder="1" applyAlignment="1">
      <alignment vertical="center"/>
    </xf>
    <xf numFmtId="0" fontId="6" fillId="0" borderId="18" xfId="0" applyFont="1" applyBorder="1">
      <alignment vertical="center"/>
    </xf>
    <xf numFmtId="0" fontId="8" fillId="0" borderId="18" xfId="0" applyFont="1" applyBorder="1" applyAlignment="1">
      <alignment horizontal="center" vertical="center"/>
    </xf>
    <xf numFmtId="0" fontId="6" fillId="0" borderId="19" xfId="0" applyFont="1" applyBorder="1" applyAlignment="1">
      <alignment horizontal="center" vertical="center"/>
    </xf>
    <xf numFmtId="0" fontId="8" fillId="0" borderId="21" xfId="0" applyFont="1" applyBorder="1" applyAlignment="1">
      <alignment horizontal="center" vertical="center"/>
    </xf>
    <xf numFmtId="0" fontId="6" fillId="0" borderId="0" xfId="0" applyFont="1" applyBorder="1" applyAlignment="1">
      <alignment horizontal="center" vertical="center"/>
    </xf>
    <xf numFmtId="179" fontId="20" fillId="2" borderId="0" xfId="0" applyNumberFormat="1" applyFont="1" applyFill="1" applyBorder="1" applyAlignment="1">
      <alignment horizontal="center" vertical="center" shrinkToFit="1"/>
    </xf>
    <xf numFmtId="181" fontId="8" fillId="2" borderId="0" xfId="0" applyNumberFormat="1" applyFont="1" applyFill="1" applyBorder="1" applyAlignment="1">
      <alignment vertical="center"/>
    </xf>
    <xf numFmtId="180" fontId="20" fillId="2" borderId="0" xfId="0" applyNumberFormat="1" applyFont="1" applyFill="1" applyBorder="1" applyAlignment="1">
      <alignment horizontal="center" vertical="center" shrinkToFit="1"/>
    </xf>
    <xf numFmtId="181" fontId="8" fillId="2" borderId="24" xfId="0" applyNumberFormat="1" applyFont="1" applyFill="1" applyBorder="1" applyAlignment="1">
      <alignment vertical="center"/>
    </xf>
    <xf numFmtId="179" fontId="20" fillId="2" borderId="24" xfId="0" applyNumberFormat="1" applyFont="1" applyFill="1" applyBorder="1" applyAlignment="1">
      <alignment horizontal="center" vertical="center" shrinkToFit="1"/>
    </xf>
    <xf numFmtId="0" fontId="19" fillId="0" borderId="24" xfId="0" applyFont="1" applyBorder="1" applyAlignment="1">
      <alignment vertical="center"/>
    </xf>
    <xf numFmtId="180" fontId="20" fillId="2" borderId="24" xfId="0" applyNumberFormat="1" applyFont="1" applyFill="1" applyBorder="1" applyAlignment="1">
      <alignment horizontal="center" vertical="center" shrinkToFit="1"/>
    </xf>
    <xf numFmtId="0" fontId="8" fillId="0" borderId="23" xfId="0" applyFont="1" applyBorder="1" applyAlignment="1">
      <alignment horizontal="center" vertical="center"/>
    </xf>
    <xf numFmtId="0" fontId="6" fillId="0" borderId="24" xfId="0" applyFont="1" applyBorder="1" applyAlignment="1">
      <alignment horizontal="center" vertical="center"/>
    </xf>
    <xf numFmtId="176" fontId="20" fillId="2" borderId="0" xfId="0" applyNumberFormat="1" applyFont="1" applyFill="1" applyBorder="1" applyAlignment="1">
      <alignment horizontal="center" vertical="center" shrinkToFit="1"/>
    </xf>
    <xf numFmtId="176" fontId="20" fillId="2" borderId="24" xfId="0" applyNumberFormat="1" applyFont="1" applyFill="1" applyBorder="1" applyAlignment="1">
      <alignment horizontal="center" vertical="center" shrinkToFit="1"/>
    </xf>
    <xf numFmtId="0" fontId="22" fillId="0" borderId="0" xfId="0" applyFont="1">
      <alignment vertical="center"/>
    </xf>
    <xf numFmtId="0" fontId="4" fillId="0" borderId="0" xfId="0" applyFont="1" applyAlignment="1">
      <alignment horizontal="center" vertical="center"/>
    </xf>
    <xf numFmtId="0" fontId="2" fillId="0" borderId="132" xfId="0" applyFont="1" applyBorder="1" applyAlignment="1">
      <alignment horizontal="center" vertical="center"/>
    </xf>
    <xf numFmtId="0" fontId="23" fillId="0" borderId="0" xfId="0" applyFont="1">
      <alignment vertical="center"/>
    </xf>
    <xf numFmtId="0" fontId="2" fillId="0" borderId="18" xfId="0" applyFont="1" applyBorder="1" applyAlignment="1">
      <alignment horizontal="center" vertical="center"/>
    </xf>
    <xf numFmtId="0" fontId="4" fillId="0" borderId="19" xfId="0" applyFont="1" applyBorder="1" applyAlignment="1">
      <alignment horizontal="center" vertical="center"/>
    </xf>
    <xf numFmtId="0" fontId="2" fillId="0" borderId="21" xfId="0" applyFont="1" applyBorder="1" applyAlignment="1">
      <alignment horizontal="center" vertical="center"/>
    </xf>
    <xf numFmtId="0" fontId="4" fillId="0" borderId="90" xfId="0" applyFont="1" applyBorder="1" applyAlignment="1">
      <alignment horizontal="center" vertical="center"/>
    </xf>
    <xf numFmtId="0" fontId="4" fillId="0" borderId="0" xfId="0" applyFont="1" applyAlignment="1">
      <alignment vertical="center" wrapText="1"/>
    </xf>
    <xf numFmtId="0" fontId="4" fillId="0" borderId="0" xfId="0" applyFont="1">
      <alignment vertical="center"/>
    </xf>
    <xf numFmtId="0" fontId="4" fillId="0" borderId="168" xfId="0" applyFont="1" applyBorder="1">
      <alignment vertical="center"/>
    </xf>
    <xf numFmtId="0" fontId="19" fillId="0" borderId="0" xfId="0" applyFont="1" applyBorder="1" applyAlignment="1">
      <alignment horizontal="center" vertical="center"/>
    </xf>
    <xf numFmtId="0" fontId="19" fillId="0" borderId="24" xfId="0" applyFont="1" applyBorder="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2" fillId="0" borderId="53" xfId="0" applyFont="1" applyBorder="1" applyAlignment="1">
      <alignment horizontal="center" vertical="center"/>
    </xf>
    <xf numFmtId="0" fontId="4" fillId="0" borderId="2" xfId="0" applyFont="1" applyBorder="1" applyAlignment="1">
      <alignment vertical="center"/>
    </xf>
    <xf numFmtId="0" fontId="4" fillId="0" borderId="5" xfId="0" applyFont="1" applyBorder="1" applyAlignment="1">
      <alignment vertical="center"/>
    </xf>
    <xf numFmtId="0" fontId="4" fillId="0" borderId="8" xfId="0" applyFont="1" applyBorder="1" applyAlignment="1">
      <alignment vertical="center"/>
    </xf>
    <xf numFmtId="0" fontId="5" fillId="0" borderId="13" xfId="0" applyFont="1" applyBorder="1" applyAlignment="1">
      <alignment vertical="center"/>
    </xf>
    <xf numFmtId="0" fontId="5" fillId="0" borderId="16" xfId="0" applyFont="1" applyBorder="1" applyAlignment="1">
      <alignment vertical="center"/>
    </xf>
    <xf numFmtId="0" fontId="5" fillId="0" borderId="120" xfId="0" applyFont="1" applyBorder="1" applyAlignment="1">
      <alignment vertical="center"/>
    </xf>
    <xf numFmtId="0" fontId="5" fillId="0" borderId="95" xfId="0" applyFont="1" applyBorder="1" applyAlignment="1">
      <alignment vertical="center"/>
    </xf>
    <xf numFmtId="0" fontId="5" fillId="0" borderId="97" xfId="0" applyFont="1" applyBorder="1" applyAlignment="1">
      <alignment vertical="center"/>
    </xf>
    <xf numFmtId="0" fontId="4" fillId="0" borderId="18" xfId="0" applyFont="1" applyBorder="1" applyAlignment="1">
      <alignment vertical="center"/>
    </xf>
    <xf numFmtId="0" fontId="4" fillId="0" borderId="19" xfId="0" applyFont="1" applyBorder="1" applyAlignment="1">
      <alignment vertical="center"/>
    </xf>
    <xf numFmtId="0" fontId="4" fillId="0" borderId="20" xfId="0" applyFont="1" applyBorder="1" applyAlignment="1">
      <alignment vertical="center"/>
    </xf>
    <xf numFmtId="0" fontId="5" fillId="0" borderId="19" xfId="0" applyFont="1" applyBorder="1" applyAlignment="1">
      <alignment vertical="center"/>
    </xf>
    <xf numFmtId="0" fontId="5" fillId="0" borderId="0" xfId="0" applyFont="1" applyBorder="1" applyAlignment="1">
      <alignment vertical="center"/>
    </xf>
    <xf numFmtId="0" fontId="5" fillId="0" borderId="24" xfId="0" applyFont="1" applyBorder="1" applyAlignment="1">
      <alignment vertical="center"/>
    </xf>
    <xf numFmtId="0" fontId="5" fillId="0" borderId="109" xfId="0" applyFont="1" applyBorder="1" applyAlignment="1">
      <alignment vertical="center"/>
    </xf>
    <xf numFmtId="0" fontId="5" fillId="0" borderId="98" xfId="0" applyFont="1" applyBorder="1" applyAlignment="1">
      <alignment vertical="center"/>
    </xf>
    <xf numFmtId="0" fontId="5" fillId="0" borderId="99" xfId="0" applyFont="1" applyBorder="1" applyAlignment="1">
      <alignment vertical="center"/>
    </xf>
    <xf numFmtId="0" fontId="19" fillId="0" borderId="21" xfId="0" applyFont="1" applyBorder="1" applyAlignment="1">
      <alignment vertical="center"/>
    </xf>
    <xf numFmtId="0" fontId="19" fillId="0" borderId="23" xfId="0" applyFont="1" applyBorder="1" applyAlignment="1">
      <alignment vertical="center"/>
    </xf>
    <xf numFmtId="0" fontId="4" fillId="0" borderId="0" xfId="0" applyFont="1" applyBorder="1">
      <alignment vertical="center"/>
    </xf>
    <xf numFmtId="0" fontId="4" fillId="0" borderId="168" xfId="0" applyFont="1" applyBorder="1" applyAlignment="1">
      <alignment vertical="center"/>
    </xf>
    <xf numFmtId="0" fontId="4" fillId="0" borderId="169" xfId="0" applyFont="1" applyBorder="1" applyAlignment="1">
      <alignment vertical="center"/>
    </xf>
    <xf numFmtId="0" fontId="4" fillId="0" borderId="171" xfId="0" applyFont="1" applyBorder="1" applyAlignment="1">
      <alignment vertical="center"/>
    </xf>
    <xf numFmtId="0" fontId="4" fillId="0" borderId="0" xfId="0" applyFont="1">
      <alignment vertical="center"/>
    </xf>
    <xf numFmtId="0" fontId="24" fillId="0" borderId="0" xfId="1"/>
    <xf numFmtId="0" fontId="25" fillId="0" borderId="0" xfId="1" applyFont="1" applyAlignment="1">
      <alignment horizontal="center" vertical="center"/>
    </xf>
    <xf numFmtId="38" fontId="25" fillId="0" borderId="0" xfId="2" applyFont="1" applyAlignment="1" applyProtection="1">
      <alignment horizontal="center" vertical="center"/>
    </xf>
    <xf numFmtId="0" fontId="26" fillId="4" borderId="18" xfId="1" applyFont="1" applyFill="1" applyBorder="1" applyAlignment="1">
      <alignment horizontal="distributed" vertical="center" justifyLastLine="1"/>
    </xf>
    <xf numFmtId="38" fontId="29" fillId="0" borderId="123" xfId="2" applyFont="1" applyBorder="1" applyAlignment="1" applyProtection="1">
      <alignment horizontal="center" vertical="center" shrinkToFit="1"/>
    </xf>
    <xf numFmtId="0" fontId="30" fillId="5" borderId="163" xfId="1" applyFont="1" applyFill="1" applyBorder="1" applyAlignment="1">
      <alignment horizontal="center" vertical="center"/>
    </xf>
    <xf numFmtId="0" fontId="31" fillId="0" borderId="21" xfId="1" applyFont="1" applyBorder="1" applyAlignment="1">
      <alignment horizontal="distributed" vertical="center" justifyLastLine="1"/>
    </xf>
    <xf numFmtId="0" fontId="32" fillId="0" borderId="147" xfId="1" applyFont="1" applyBorder="1" applyAlignment="1">
      <alignment horizontal="distributed" vertical="center" justifyLastLine="1"/>
    </xf>
    <xf numFmtId="38" fontId="33" fillId="6" borderId="147" xfId="2" applyFont="1" applyFill="1" applyBorder="1" applyAlignment="1" applyProtection="1">
      <alignment horizontal="center" vertical="center"/>
      <protection locked="0"/>
    </xf>
    <xf numFmtId="38" fontId="33" fillId="6" borderId="148" xfId="2" applyFont="1" applyFill="1" applyBorder="1" applyAlignment="1" applyProtection="1">
      <alignment horizontal="center" vertical="center"/>
      <protection locked="0"/>
    </xf>
    <xf numFmtId="0" fontId="30" fillId="7" borderId="163" xfId="1" applyFont="1" applyFill="1" applyBorder="1" applyAlignment="1" applyProtection="1">
      <alignment horizontal="center" vertical="center"/>
      <protection locked="0"/>
    </xf>
    <xf numFmtId="38" fontId="33" fillId="5" borderId="12" xfId="2" applyFont="1" applyFill="1" applyBorder="1" applyAlignment="1" applyProtection="1">
      <alignment horizontal="center" vertical="center"/>
      <protection locked="0"/>
    </xf>
    <xf numFmtId="38" fontId="33" fillId="5" borderId="12" xfId="2" applyFont="1" applyFill="1" applyBorder="1" applyAlignment="1" applyProtection="1">
      <alignment horizontal="center" vertical="center"/>
      <protection locked="0"/>
    </xf>
    <xf numFmtId="0" fontId="33" fillId="8" borderId="4" xfId="1" applyFont="1" applyFill="1" applyBorder="1" applyAlignment="1" applyProtection="1">
      <alignment horizontal="center" vertical="center"/>
      <protection locked="0"/>
    </xf>
    <xf numFmtId="38" fontId="33" fillId="6" borderId="10" xfId="2" applyFont="1" applyFill="1" applyBorder="1" applyAlignment="1" applyProtection="1">
      <alignment vertical="center" shrinkToFit="1"/>
      <protection locked="0"/>
    </xf>
    <xf numFmtId="38" fontId="33" fillId="7" borderId="10" xfId="2" applyFont="1" applyFill="1" applyBorder="1" applyAlignment="1" applyProtection="1">
      <alignment vertical="center" shrinkToFit="1"/>
      <protection locked="0"/>
    </xf>
    <xf numFmtId="0" fontId="34" fillId="0" borderId="0" xfId="1" applyFont="1" applyAlignment="1">
      <alignment horizontal="center" vertical="center"/>
    </xf>
    <xf numFmtId="38" fontId="35" fillId="0" borderId="5" xfId="2" applyFont="1" applyFill="1" applyBorder="1" applyAlignment="1" applyProtection="1">
      <alignment vertical="center" shrinkToFit="1"/>
    </xf>
    <xf numFmtId="0" fontId="36" fillId="0" borderId="0" xfId="1" applyFont="1" applyAlignment="1">
      <alignment vertical="center" wrapText="1"/>
    </xf>
    <xf numFmtId="38" fontId="33" fillId="6" borderId="5" xfId="2" applyFont="1" applyFill="1" applyBorder="1" applyAlignment="1" applyProtection="1">
      <alignment vertical="center" shrinkToFit="1"/>
      <protection locked="0"/>
    </xf>
    <xf numFmtId="38" fontId="25" fillId="0" borderId="0" xfId="2" applyFont="1" applyFill="1" applyAlignment="1" applyProtection="1">
      <alignment horizontal="center" vertical="center"/>
    </xf>
    <xf numFmtId="0" fontId="24" fillId="0" borderId="0" xfId="1" applyAlignment="1">
      <alignment horizontal="center" vertical="center"/>
    </xf>
    <xf numFmtId="0" fontId="38" fillId="0" borderId="0" xfId="1" applyFont="1" applyAlignment="1">
      <alignment vertical="center"/>
    </xf>
    <xf numFmtId="183" fontId="39" fillId="0" borderId="0" xfId="1" applyNumberFormat="1" applyFont="1" applyAlignment="1">
      <alignment vertical="center"/>
    </xf>
    <xf numFmtId="38" fontId="35" fillId="0" borderId="5" xfId="2" applyFont="1" applyBorder="1" applyAlignment="1" applyProtection="1">
      <alignment vertical="center"/>
    </xf>
    <xf numFmtId="38" fontId="40" fillId="0" borderId="0" xfId="2" applyFont="1" applyFill="1" applyAlignment="1" applyProtection="1">
      <alignment horizontal="center" vertical="center"/>
    </xf>
    <xf numFmtId="38" fontId="35" fillId="0" borderId="5" xfId="2" applyFont="1" applyBorder="1" applyAlignment="1" applyProtection="1">
      <alignment vertical="center" shrinkToFit="1"/>
    </xf>
    <xf numFmtId="38" fontId="33" fillId="0" borderId="126" xfId="2" applyFont="1" applyBorder="1" applyAlignment="1" applyProtection="1">
      <alignment vertical="center"/>
    </xf>
    <xf numFmtId="38" fontId="33" fillId="0" borderId="0" xfId="2" applyFont="1" applyBorder="1" applyAlignment="1" applyProtection="1">
      <alignment vertical="center"/>
    </xf>
    <xf numFmtId="0" fontId="41" fillId="0" borderId="0" xfId="1" applyFont="1" applyAlignment="1">
      <alignment vertical="center"/>
    </xf>
    <xf numFmtId="0" fontId="42" fillId="0" borderId="0" xfId="1" applyFont="1" applyAlignment="1">
      <alignment vertical="center"/>
    </xf>
    <xf numFmtId="38" fontId="33" fillId="0" borderId="203" xfId="2" applyFont="1" applyBorder="1" applyAlignment="1" applyProtection="1">
      <alignment horizontal="right" vertical="center"/>
    </xf>
    <xf numFmtId="38" fontId="33" fillId="0" borderId="203" xfId="2" applyFont="1" applyBorder="1" applyAlignment="1" applyProtection="1">
      <alignment horizontal="left" vertical="center"/>
    </xf>
    <xf numFmtId="0" fontId="33" fillId="0" borderId="14" xfId="1" applyFont="1" applyBorder="1" applyAlignment="1">
      <alignment vertical="center" shrinkToFit="1"/>
    </xf>
    <xf numFmtId="184" fontId="47" fillId="0" borderId="163" xfId="1" applyNumberFormat="1" applyFont="1" applyBorder="1" applyAlignment="1">
      <alignment horizontal="center" vertical="center"/>
    </xf>
    <xf numFmtId="38" fontId="33" fillId="0" borderId="163" xfId="2" applyFont="1" applyBorder="1" applyAlignment="1" applyProtection="1">
      <alignment horizontal="right" vertical="center"/>
    </xf>
    <xf numFmtId="38" fontId="33" fillId="0" borderId="5" xfId="2" applyFont="1" applyBorder="1" applyAlignment="1" applyProtection="1">
      <alignment horizontal="right" vertical="center"/>
    </xf>
    <xf numFmtId="0" fontId="33" fillId="0" borderId="14" xfId="1" applyFont="1" applyBorder="1" applyAlignment="1">
      <alignment vertical="center" justifyLastLine="1"/>
    </xf>
    <xf numFmtId="185" fontId="47" fillId="0" borderId="163" xfId="1" applyNumberFormat="1" applyFont="1" applyBorder="1" applyAlignment="1">
      <alignment horizontal="center" vertical="center" shrinkToFit="1"/>
    </xf>
    <xf numFmtId="38" fontId="45" fillId="0" borderId="5" xfId="2" applyFont="1" applyBorder="1" applyAlignment="1" applyProtection="1">
      <alignment horizontal="center" vertical="center"/>
    </xf>
    <xf numFmtId="38" fontId="25" fillId="0" borderId="5" xfId="2" applyFont="1" applyBorder="1" applyAlignment="1" applyProtection="1">
      <alignment horizontal="right" vertical="center"/>
    </xf>
    <xf numFmtId="38" fontId="48" fillId="0" borderId="5" xfId="2" applyFont="1" applyBorder="1" applyAlignment="1" applyProtection="1">
      <alignment horizontal="center" vertical="center"/>
    </xf>
    <xf numFmtId="0" fontId="24" fillId="0" borderId="0" xfId="1" applyAlignment="1">
      <alignment vertical="center"/>
    </xf>
    <xf numFmtId="0" fontId="49" fillId="0" borderId="0" xfId="1" applyFont="1"/>
    <xf numFmtId="186" fontId="33" fillId="0" borderId="204" xfId="2" applyNumberFormat="1" applyFont="1" applyBorder="1" applyAlignment="1" applyProtection="1">
      <alignment horizontal="right" vertical="center"/>
    </xf>
    <xf numFmtId="0" fontId="33" fillId="0" borderId="0" xfId="1" applyFont="1" applyAlignment="1">
      <alignment vertical="center"/>
    </xf>
    <xf numFmtId="38" fontId="40" fillId="0" borderId="0" xfId="2" applyFont="1" applyBorder="1" applyAlignment="1" applyProtection="1">
      <alignment horizontal="right" vertical="center"/>
    </xf>
    <xf numFmtId="186" fontId="33" fillId="0" borderId="0" xfId="2" applyNumberFormat="1" applyFont="1" applyBorder="1" applyAlignment="1" applyProtection="1">
      <alignment horizontal="right" vertical="center"/>
    </xf>
    <xf numFmtId="0" fontId="50" fillId="0" borderId="0" xfId="1" applyFont="1" applyAlignment="1">
      <alignment vertical="center"/>
    </xf>
    <xf numFmtId="0" fontId="33" fillId="0" borderId="203" xfId="1" applyFont="1" applyBorder="1" applyAlignment="1">
      <alignment vertical="center"/>
    </xf>
    <xf numFmtId="0" fontId="25" fillId="0" borderId="5" xfId="1" applyFont="1" applyBorder="1" applyAlignment="1">
      <alignment horizontal="center" vertical="center"/>
    </xf>
    <xf numFmtId="38" fontId="25" fillId="0" borderId="5" xfId="2" applyFont="1" applyBorder="1" applyAlignment="1" applyProtection="1">
      <alignment horizontal="center" vertical="center"/>
    </xf>
    <xf numFmtId="38" fontId="25" fillId="0" borderId="5" xfId="2" applyFont="1" applyFill="1" applyBorder="1" applyAlignment="1" applyProtection="1">
      <alignment horizontal="center" vertical="center"/>
    </xf>
    <xf numFmtId="40" fontId="47" fillId="0" borderId="163" xfId="1" applyNumberFormat="1" applyFont="1" applyBorder="1" applyAlignment="1">
      <alignment horizontal="center" vertical="center"/>
    </xf>
    <xf numFmtId="0" fontId="25" fillId="0" borderId="10" xfId="1" applyFont="1" applyBorder="1" applyAlignment="1">
      <alignment horizontal="center" vertical="center"/>
    </xf>
    <xf numFmtId="38" fontId="47" fillId="0" borderId="163" xfId="1" applyNumberFormat="1" applyFont="1" applyBorder="1" applyAlignment="1">
      <alignment horizontal="center" vertical="center" shrinkToFit="1"/>
    </xf>
    <xf numFmtId="38" fontId="51" fillId="0" borderId="5" xfId="2" applyFont="1" applyBorder="1" applyAlignment="1" applyProtection="1">
      <alignment horizontal="right" vertical="center"/>
    </xf>
    <xf numFmtId="38" fontId="51" fillId="0" borderId="14" xfId="2" applyFont="1" applyBorder="1" applyAlignment="1" applyProtection="1">
      <alignment vertical="center"/>
    </xf>
    <xf numFmtId="38" fontId="51" fillId="0" borderId="163" xfId="2" applyFont="1" applyBorder="1" applyAlignment="1" applyProtection="1">
      <alignment vertical="center"/>
    </xf>
    <xf numFmtId="38" fontId="33" fillId="0" borderId="204" xfId="2" applyFont="1" applyBorder="1" applyAlignment="1" applyProtection="1">
      <alignment horizontal="right" vertical="center"/>
    </xf>
    <xf numFmtId="38" fontId="33" fillId="0" borderId="0" xfId="2" applyFont="1" applyBorder="1" applyAlignment="1" applyProtection="1">
      <alignment horizontal="right" vertical="center"/>
    </xf>
    <xf numFmtId="38" fontId="51" fillId="0" borderId="147" xfId="2" applyFont="1" applyBorder="1" applyAlignment="1" applyProtection="1">
      <alignment vertical="center"/>
    </xf>
    <xf numFmtId="0" fontId="52" fillId="0" borderId="0" xfId="1" applyFont="1" applyAlignment="1">
      <alignment vertical="center"/>
    </xf>
    <xf numFmtId="0" fontId="53" fillId="0" borderId="203" xfId="1" applyFont="1" applyBorder="1" applyAlignment="1">
      <alignment horizontal="left" vertical="center"/>
    </xf>
    <xf numFmtId="0" fontId="33" fillId="0" borderId="203" xfId="1" applyFont="1" applyBorder="1" applyAlignment="1">
      <alignment horizontal="left" vertical="center"/>
    </xf>
    <xf numFmtId="0" fontId="24" fillId="0" borderId="0" xfId="1" applyAlignment="1">
      <alignment horizontal="left"/>
    </xf>
    <xf numFmtId="38" fontId="51" fillId="0" borderId="10" xfId="2" applyFont="1" applyBorder="1" applyAlignment="1" applyProtection="1">
      <alignment vertical="center"/>
    </xf>
    <xf numFmtId="185" fontId="47" fillId="0" borderId="5" xfId="1" applyNumberFormat="1" applyFont="1" applyBorder="1" applyAlignment="1">
      <alignment horizontal="center" vertical="center" shrinkToFit="1"/>
    </xf>
    <xf numFmtId="38" fontId="33" fillId="0" borderId="208" xfId="2" applyFont="1" applyBorder="1" applyAlignment="1" applyProtection="1">
      <alignment horizontal="right" vertical="center"/>
    </xf>
    <xf numFmtId="0" fontId="33" fillId="0" borderId="126" xfId="1" applyFont="1" applyBorder="1" applyAlignment="1">
      <alignment vertical="center"/>
    </xf>
    <xf numFmtId="38" fontId="30" fillId="0" borderId="209" xfId="2" applyFont="1" applyBorder="1" applyAlignment="1" applyProtection="1">
      <alignment horizontal="right" vertical="center"/>
    </xf>
    <xf numFmtId="0" fontId="33" fillId="0" borderId="163" xfId="1" applyFont="1" applyBorder="1" applyAlignment="1">
      <alignment horizontal="center" vertical="center" shrinkToFit="1"/>
    </xf>
    <xf numFmtId="38" fontId="30" fillId="0" borderId="0" xfId="2" applyFont="1" applyBorder="1" applyAlignment="1" applyProtection="1">
      <alignment horizontal="center" vertical="center"/>
    </xf>
    <xf numFmtId="38" fontId="30" fillId="0" borderId="126" xfId="1" applyNumberFormat="1" applyFont="1" applyBorder="1" applyAlignment="1">
      <alignment horizontal="center" vertical="center" shrinkToFit="1"/>
    </xf>
    <xf numFmtId="0" fontId="56" fillId="0" borderId="138" xfId="1" applyFont="1" applyBorder="1" applyAlignment="1">
      <alignment horizontal="center" vertical="center" shrinkToFit="1"/>
    </xf>
    <xf numFmtId="0" fontId="57" fillId="0" borderId="139" xfId="1" applyFont="1" applyBorder="1" applyAlignment="1">
      <alignment horizontal="center" vertical="center" shrinkToFit="1"/>
    </xf>
    <xf numFmtId="38" fontId="59" fillId="0" borderId="0" xfId="2" applyFont="1" applyAlignment="1" applyProtection="1">
      <alignment horizontal="center" vertical="center"/>
    </xf>
    <xf numFmtId="0" fontId="59" fillId="0" borderId="0" xfId="1" applyFont="1" applyAlignment="1">
      <alignment horizontal="center" vertical="center"/>
    </xf>
    <xf numFmtId="0" fontId="60" fillId="5" borderId="93" xfId="1" applyFont="1" applyFill="1" applyBorder="1" applyAlignment="1">
      <alignment horizontal="center" vertical="center" shrinkToFit="1"/>
    </xf>
    <xf numFmtId="185" fontId="30" fillId="0" borderId="94" xfId="1" applyNumberFormat="1" applyFont="1" applyBorder="1" applyAlignment="1">
      <alignment horizontal="right" vertical="center" shrinkToFit="1"/>
    </xf>
    <xf numFmtId="0" fontId="61" fillId="5" borderId="211" xfId="1" applyFont="1" applyFill="1" applyBorder="1" applyAlignment="1">
      <alignment horizontal="right" vertical="center" shrinkToFit="1"/>
    </xf>
    <xf numFmtId="0" fontId="63" fillId="0" borderId="0" xfId="1" applyFont="1"/>
    <xf numFmtId="0" fontId="56" fillId="0" borderId="141" xfId="1" applyFont="1" applyBorder="1" applyAlignment="1">
      <alignment horizontal="center" vertical="center" shrinkToFit="1"/>
    </xf>
    <xf numFmtId="0" fontId="24" fillId="0" borderId="0" xfId="1" applyAlignment="1">
      <alignment shrinkToFit="1"/>
    </xf>
    <xf numFmtId="0" fontId="30" fillId="0" borderId="215" xfId="1" applyFont="1" applyBorder="1" applyAlignment="1">
      <alignment horizontal="right" vertical="center" shrinkToFit="1"/>
    </xf>
    <xf numFmtId="0" fontId="62" fillId="0" borderId="0" xfId="1" applyFont="1" applyAlignment="1">
      <alignment vertical="center"/>
    </xf>
    <xf numFmtId="185" fontId="65" fillId="0" borderId="216" xfId="1" applyNumberFormat="1" applyFont="1" applyBorder="1" applyAlignment="1">
      <alignment vertical="center"/>
    </xf>
    <xf numFmtId="0" fontId="60" fillId="5" borderId="141" xfId="1" applyFont="1" applyFill="1" applyBorder="1" applyAlignment="1">
      <alignment horizontal="center" vertical="center" shrinkToFit="1"/>
    </xf>
    <xf numFmtId="185" fontId="62" fillId="0" borderId="0" xfId="1" applyNumberFormat="1" applyFont="1" applyAlignment="1">
      <alignment vertical="center"/>
    </xf>
    <xf numFmtId="0" fontId="24" fillId="0" borderId="216" xfId="1" applyBorder="1" applyAlignment="1">
      <alignment vertical="center"/>
    </xf>
    <xf numFmtId="0" fontId="65" fillId="0" borderId="0" xfId="1" applyFont="1" applyAlignment="1">
      <alignment vertical="center" shrinkToFit="1"/>
    </xf>
    <xf numFmtId="0" fontId="62" fillId="0" borderId="217" xfId="1" applyFont="1" applyBorder="1" applyAlignment="1">
      <alignment horizontal="center" vertical="center" shrinkToFit="1"/>
    </xf>
    <xf numFmtId="0" fontId="61" fillId="5" borderId="215" xfId="1" applyFont="1" applyFill="1" applyBorder="1" applyAlignment="1">
      <alignment horizontal="right" shrinkToFit="1"/>
    </xf>
    <xf numFmtId="185" fontId="67" fillId="0" borderId="218" xfId="1" applyNumberFormat="1" applyFont="1" applyBorder="1" applyAlignment="1">
      <alignment horizontal="right" vertical="center" shrinkToFit="1"/>
    </xf>
    <xf numFmtId="0" fontId="61" fillId="0" borderId="219" xfId="1" applyFont="1" applyBorder="1" applyAlignment="1">
      <alignment vertical="center" shrinkToFit="1"/>
    </xf>
    <xf numFmtId="0" fontId="26" fillId="4" borderId="211" xfId="1" applyFont="1" applyFill="1" applyBorder="1" applyAlignment="1">
      <alignment horizontal="distributed" vertical="center" justifyLastLine="1"/>
    </xf>
    <xf numFmtId="38" fontId="29" fillId="0" borderId="223" xfId="2" applyFont="1" applyBorder="1" applyAlignment="1" applyProtection="1">
      <alignment vertical="center" shrinkToFit="1"/>
    </xf>
    <xf numFmtId="38" fontId="29" fillId="0" borderId="223" xfId="2" applyFont="1" applyBorder="1" applyAlignment="1" applyProtection="1">
      <alignment horizontal="center" vertical="center" shrinkToFit="1"/>
    </xf>
    <xf numFmtId="38" fontId="33" fillId="9" borderId="224" xfId="2" applyFont="1" applyFill="1" applyBorder="1" applyAlignment="1" applyProtection="1">
      <alignment horizontal="center" vertical="center" shrinkToFit="1"/>
    </xf>
    <xf numFmtId="0" fontId="31" fillId="0" borderId="215" xfId="1" applyFont="1" applyBorder="1" applyAlignment="1">
      <alignment horizontal="distributed" vertical="center" justifyLastLine="1"/>
    </xf>
    <xf numFmtId="38" fontId="33" fillId="6" borderId="147" xfId="2" applyFont="1" applyFill="1" applyBorder="1" applyAlignment="1" applyProtection="1">
      <alignment horizontal="center" vertical="center"/>
    </xf>
    <xf numFmtId="38" fontId="33" fillId="6" borderId="225" xfId="2" applyFont="1" applyFill="1" applyBorder="1" applyAlignment="1" applyProtection="1">
      <alignment horizontal="center" vertical="center"/>
    </xf>
    <xf numFmtId="38" fontId="33" fillId="9" borderId="12" xfId="2" applyFont="1" applyFill="1" applyBorder="1" applyAlignment="1" applyProtection="1">
      <alignment horizontal="center" vertical="center"/>
    </xf>
    <xf numFmtId="0" fontId="33" fillId="9" borderId="12" xfId="1" applyFont="1" applyFill="1" applyBorder="1" applyAlignment="1">
      <alignment horizontal="center" vertical="center"/>
    </xf>
    <xf numFmtId="0" fontId="33" fillId="9" borderId="200" xfId="1" applyFont="1" applyFill="1" applyBorder="1" applyAlignment="1">
      <alignment horizontal="center" vertical="center"/>
    </xf>
    <xf numFmtId="38" fontId="33" fillId="0" borderId="10" xfId="2" applyFont="1" applyFill="1" applyBorder="1" applyAlignment="1" applyProtection="1">
      <alignment vertical="center" shrinkToFit="1"/>
    </xf>
    <xf numFmtId="3" fontId="24" fillId="0" borderId="0" xfId="1" applyNumberFormat="1"/>
    <xf numFmtId="38" fontId="33" fillId="0" borderId="5" xfId="2" applyFont="1" applyFill="1" applyBorder="1" applyAlignment="1" applyProtection="1">
      <alignment vertical="center" shrinkToFit="1"/>
    </xf>
    <xf numFmtId="0" fontId="24" fillId="0" borderId="0" xfId="1" applyAlignment="1">
      <alignment horizontal="center"/>
    </xf>
    <xf numFmtId="38" fontId="33" fillId="0" borderId="0" xfId="2" applyFont="1" applyBorder="1" applyAlignment="1" applyProtection="1">
      <alignment horizontal="center" vertical="center"/>
    </xf>
    <xf numFmtId="38" fontId="68" fillId="0" borderId="163" xfId="2" applyFont="1" applyBorder="1" applyAlignment="1" applyProtection="1">
      <alignment horizontal="right" vertical="center"/>
    </xf>
    <xf numFmtId="0" fontId="54" fillId="0" borderId="0" xfId="1" applyFont="1" applyAlignment="1">
      <alignment vertical="center"/>
    </xf>
    <xf numFmtId="0" fontId="70" fillId="0" borderId="0" xfId="1" applyFont="1"/>
    <xf numFmtId="0" fontId="54" fillId="0" borderId="203" xfId="1" applyFont="1" applyBorder="1" applyAlignment="1">
      <alignment vertical="center"/>
    </xf>
    <xf numFmtId="38" fontId="68" fillId="0" borderId="5" xfId="2" applyFont="1" applyBorder="1" applyAlignment="1" applyProtection="1">
      <alignment horizontal="right" vertical="center"/>
    </xf>
    <xf numFmtId="0" fontId="30" fillId="0" borderId="126" xfId="1" applyFont="1" applyBorder="1" applyAlignment="1">
      <alignment horizontal="center" vertical="center" shrinkToFit="1"/>
    </xf>
    <xf numFmtId="0" fontId="60" fillId="9" borderId="93" xfId="1" applyFont="1" applyFill="1" applyBorder="1" applyAlignment="1">
      <alignment horizontal="center" vertical="center" shrinkToFit="1"/>
    </xf>
    <xf numFmtId="0" fontId="61" fillId="9" borderId="211" xfId="1" applyFont="1" applyFill="1" applyBorder="1" applyAlignment="1">
      <alignment horizontal="right" vertical="center" shrinkToFit="1"/>
    </xf>
    <xf numFmtId="0" fontId="60" fillId="9" borderId="141" xfId="1" applyFont="1" applyFill="1" applyBorder="1" applyAlignment="1">
      <alignment horizontal="center" vertical="center" shrinkToFit="1"/>
    </xf>
    <xf numFmtId="0" fontId="61" fillId="9" borderId="215" xfId="1" applyFont="1" applyFill="1" applyBorder="1" applyAlignment="1">
      <alignment horizontal="right" shrinkToFit="1"/>
    </xf>
    <xf numFmtId="38" fontId="33" fillId="10" borderId="224" xfId="2" applyFont="1" applyFill="1" applyBorder="1" applyAlignment="1" applyProtection="1">
      <alignment horizontal="center" vertical="center" shrinkToFit="1"/>
    </xf>
    <xf numFmtId="38" fontId="33" fillId="10" borderId="12" xfId="2" applyFont="1" applyFill="1" applyBorder="1" applyAlignment="1" applyProtection="1">
      <alignment horizontal="center" vertical="center"/>
    </xf>
    <xf numFmtId="0" fontId="33" fillId="10" borderId="12" xfId="1" applyFont="1" applyFill="1" applyBorder="1" applyAlignment="1">
      <alignment horizontal="center" vertical="center"/>
    </xf>
    <xf numFmtId="0" fontId="33" fillId="10" borderId="200" xfId="1" applyFont="1" applyFill="1" applyBorder="1" applyAlignment="1">
      <alignment horizontal="center" vertical="center"/>
    </xf>
    <xf numFmtId="0" fontId="60" fillId="11" borderId="93" xfId="1" applyFont="1" applyFill="1" applyBorder="1" applyAlignment="1">
      <alignment horizontal="center" vertical="center" shrinkToFit="1"/>
    </xf>
    <xf numFmtId="0" fontId="61" fillId="11" borderId="211" xfId="1" applyFont="1" applyFill="1" applyBorder="1" applyAlignment="1">
      <alignment horizontal="right" vertical="center" shrinkToFit="1"/>
    </xf>
    <xf numFmtId="0" fontId="60" fillId="11" borderId="141" xfId="1" applyFont="1" applyFill="1" applyBorder="1" applyAlignment="1">
      <alignment horizontal="center" vertical="center" shrinkToFit="1"/>
    </xf>
    <xf numFmtId="0" fontId="61" fillId="11" borderId="215" xfId="1" applyFont="1" applyFill="1" applyBorder="1" applyAlignment="1">
      <alignment horizontal="right" shrinkToFit="1"/>
    </xf>
    <xf numFmtId="0" fontId="65" fillId="0" borderId="0" xfId="1" applyFont="1" applyAlignment="1">
      <alignment horizontal="center" vertical="center"/>
    </xf>
    <xf numFmtId="0" fontId="29" fillId="0" borderId="0" xfId="1" applyFont="1" applyAlignment="1">
      <alignment horizontal="center" vertical="center"/>
    </xf>
    <xf numFmtId="185" fontId="29" fillId="0" borderId="0" xfId="1" applyNumberFormat="1" applyFont="1" applyAlignment="1">
      <alignment horizontal="right" vertical="center"/>
    </xf>
    <xf numFmtId="185" fontId="24" fillId="0" borderId="0" xfId="1" applyNumberFormat="1" applyAlignment="1">
      <alignment vertical="center"/>
    </xf>
    <xf numFmtId="38" fontId="33" fillId="12" borderId="224" xfId="2" applyFont="1" applyFill="1" applyBorder="1" applyAlignment="1" applyProtection="1">
      <alignment horizontal="center" vertical="center" shrinkToFit="1"/>
    </xf>
    <xf numFmtId="38" fontId="33" fillId="12" borderId="12" xfId="2" applyFont="1" applyFill="1" applyBorder="1" applyAlignment="1" applyProtection="1">
      <alignment horizontal="center" vertical="center"/>
    </xf>
    <xf numFmtId="0" fontId="33" fillId="12" borderId="12" xfId="1" applyFont="1" applyFill="1" applyBorder="1" applyAlignment="1">
      <alignment horizontal="center" vertical="center"/>
    </xf>
    <xf numFmtId="0" fontId="33" fillId="12" borderId="200" xfId="1" applyFont="1" applyFill="1" applyBorder="1" applyAlignment="1">
      <alignment horizontal="center" vertical="center"/>
    </xf>
    <xf numFmtId="0" fontId="35" fillId="0" borderId="0" xfId="1" applyFont="1" applyAlignment="1">
      <alignment horizontal="distributed" vertical="center" justifyLastLine="1"/>
    </xf>
    <xf numFmtId="38" fontId="35" fillId="0" borderId="126" xfId="2" applyFont="1" applyBorder="1" applyAlignment="1" applyProtection="1">
      <alignment vertical="center" shrinkToFit="1"/>
    </xf>
    <xf numFmtId="38" fontId="35" fillId="0" borderId="126" xfId="2" applyFont="1" applyBorder="1" applyAlignment="1" applyProtection="1">
      <alignment vertical="center"/>
    </xf>
    <xf numFmtId="38" fontId="35" fillId="0" borderId="0" xfId="2" applyFont="1" applyBorder="1" applyAlignment="1" applyProtection="1">
      <alignment vertical="center"/>
    </xf>
    <xf numFmtId="0" fontId="60" fillId="12" borderId="93" xfId="1" applyFont="1" applyFill="1" applyBorder="1" applyAlignment="1">
      <alignment horizontal="center" vertical="center" shrinkToFit="1"/>
    </xf>
    <xf numFmtId="0" fontId="61" fillId="12" borderId="211" xfId="1" applyFont="1" applyFill="1" applyBorder="1" applyAlignment="1">
      <alignment horizontal="right" vertical="center" shrinkToFit="1"/>
    </xf>
    <xf numFmtId="0" fontId="60" fillId="12" borderId="141" xfId="1" applyFont="1" applyFill="1" applyBorder="1" applyAlignment="1">
      <alignment horizontal="center" vertical="center" shrinkToFit="1"/>
    </xf>
    <xf numFmtId="0" fontId="61" fillId="12" borderId="215" xfId="1" applyFont="1" applyFill="1" applyBorder="1" applyAlignment="1">
      <alignment horizontal="right" shrinkToFit="1"/>
    </xf>
    <xf numFmtId="38" fontId="24" fillId="0" borderId="0" xfId="1" applyNumberFormat="1"/>
    <xf numFmtId="186" fontId="24" fillId="0" borderId="0" xfId="1" applyNumberFormat="1"/>
    <xf numFmtId="177" fontId="2" fillId="0" borderId="38" xfId="0" applyNumberFormat="1" applyFont="1" applyBorder="1" applyAlignment="1">
      <alignment vertical="center"/>
    </xf>
    <xf numFmtId="177" fontId="2" fillId="0" borderId="101" xfId="0" applyNumberFormat="1" applyFont="1" applyBorder="1" applyAlignment="1">
      <alignment vertical="center"/>
    </xf>
    <xf numFmtId="177" fontId="2" fillId="0" borderId="102" xfId="0" applyNumberFormat="1" applyFont="1" applyBorder="1" applyAlignment="1">
      <alignment vertical="center"/>
    </xf>
    <xf numFmtId="177" fontId="2" fillId="0" borderId="41" xfId="0" applyNumberFormat="1" applyFont="1" applyBorder="1" applyAlignment="1">
      <alignment vertical="center"/>
    </xf>
    <xf numFmtId="177" fontId="2" fillId="0" borderId="104" xfId="0" applyNumberFormat="1" applyFont="1" applyBorder="1" applyAlignment="1">
      <alignment vertical="center"/>
    </xf>
    <xf numFmtId="177" fontId="2" fillId="0" borderId="105" xfId="0" applyNumberFormat="1" applyFont="1" applyBorder="1" applyAlignment="1">
      <alignment vertical="center"/>
    </xf>
    <xf numFmtId="177" fontId="2" fillId="0" borderId="39" xfId="0" applyNumberFormat="1" applyFont="1" applyBorder="1" applyAlignment="1">
      <alignment vertical="center"/>
    </xf>
    <xf numFmtId="177" fontId="2" fillId="0" borderId="107" xfId="0" applyNumberFormat="1" applyFont="1" applyBorder="1" applyAlignment="1">
      <alignment vertical="center"/>
    </xf>
    <xf numFmtId="177" fontId="2" fillId="0" borderId="108" xfId="0" applyNumberFormat="1" applyFont="1" applyBorder="1" applyAlignment="1">
      <alignment vertical="center"/>
    </xf>
    <xf numFmtId="177" fontId="2" fillId="0" borderId="183" xfId="0" applyNumberFormat="1" applyFont="1" applyBorder="1" applyAlignment="1">
      <alignment vertical="center"/>
    </xf>
    <xf numFmtId="177" fontId="2" fillId="0" borderId="16" xfId="0" applyNumberFormat="1" applyFont="1" applyBorder="1" applyAlignment="1">
      <alignment vertical="center"/>
    </xf>
    <xf numFmtId="177" fontId="2" fillId="0" borderId="17" xfId="0" applyNumberFormat="1" applyFont="1" applyBorder="1" applyAlignment="1">
      <alignment vertical="center"/>
    </xf>
    <xf numFmtId="177" fontId="2" fillId="0" borderId="45" xfId="0" applyNumberFormat="1" applyFont="1" applyBorder="1" applyAlignment="1">
      <alignment vertical="center"/>
    </xf>
    <xf numFmtId="177" fontId="2" fillId="0" borderId="43" xfId="0" applyNumberFormat="1" applyFont="1" applyBorder="1" applyAlignment="1">
      <alignment vertical="center"/>
    </xf>
    <xf numFmtId="177" fontId="2" fillId="0" borderId="42" xfId="0" applyNumberFormat="1" applyFont="1" applyBorder="1" applyAlignment="1">
      <alignment vertical="center"/>
    </xf>
    <xf numFmtId="177" fontId="2" fillId="0" borderId="100" xfId="0" applyNumberFormat="1" applyFont="1" applyBorder="1" applyAlignment="1">
      <alignment vertical="center"/>
    </xf>
    <xf numFmtId="176" fontId="2" fillId="0" borderId="103" xfId="0" applyNumberFormat="1" applyFont="1" applyBorder="1" applyAlignment="1">
      <alignment vertical="center"/>
    </xf>
    <xf numFmtId="176" fontId="2" fillId="0" borderId="104" xfId="0" applyNumberFormat="1" applyFont="1" applyBorder="1" applyAlignment="1">
      <alignment vertical="center"/>
    </xf>
    <xf numFmtId="176" fontId="2" fillId="0" borderId="116" xfId="0" applyNumberFormat="1" applyFont="1" applyBorder="1" applyAlignment="1">
      <alignment vertical="center"/>
    </xf>
    <xf numFmtId="176" fontId="2" fillId="0" borderId="136" xfId="0" applyNumberFormat="1" applyFont="1" applyBorder="1" applyAlignment="1">
      <alignment vertical="center"/>
    </xf>
    <xf numFmtId="176" fontId="2" fillId="0" borderId="124" xfId="0" applyNumberFormat="1" applyFont="1" applyBorder="1" applyAlignment="1">
      <alignment vertical="center"/>
    </xf>
    <xf numFmtId="176" fontId="2" fillId="0" borderId="125" xfId="0" applyNumberFormat="1" applyFont="1" applyBorder="1" applyAlignment="1">
      <alignment vertical="center"/>
    </xf>
    <xf numFmtId="177" fontId="2" fillId="0" borderId="103" xfId="0" applyNumberFormat="1" applyFont="1" applyBorder="1" applyAlignment="1">
      <alignment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177" fontId="2" fillId="2" borderId="111" xfId="0" applyNumberFormat="1" applyFont="1" applyFill="1" applyBorder="1" applyAlignment="1">
      <alignment vertical="center"/>
    </xf>
    <xf numFmtId="177" fontId="2" fillId="2" borderId="112" xfId="0" applyNumberFormat="1" applyFont="1" applyFill="1" applyBorder="1" applyAlignment="1">
      <alignment vertical="center"/>
    </xf>
    <xf numFmtId="177" fontId="2" fillId="2" borderId="123" xfId="0" applyNumberFormat="1" applyFont="1" applyFill="1" applyBorder="1" applyAlignment="1">
      <alignment vertical="center"/>
    </xf>
    <xf numFmtId="176" fontId="2" fillId="0" borderId="193" xfId="0" applyNumberFormat="1" applyFont="1" applyBorder="1" applyAlignment="1">
      <alignment vertical="center"/>
    </xf>
    <xf numFmtId="176" fontId="2" fillId="0" borderId="132" xfId="0" applyNumberFormat="1" applyFont="1" applyBorder="1" applyAlignment="1">
      <alignment vertical="center"/>
    </xf>
    <xf numFmtId="176" fontId="2" fillId="0" borderId="61" xfId="0" applyNumberFormat="1" applyFont="1" applyBorder="1" applyAlignment="1">
      <alignment vertical="center"/>
    </xf>
    <xf numFmtId="0" fontId="13" fillId="0" borderId="106" xfId="0" applyFont="1" applyBorder="1" applyAlignment="1">
      <alignment vertical="center" shrinkToFit="1"/>
    </xf>
    <xf numFmtId="0" fontId="13" fillId="0" borderId="107" xfId="0" applyFont="1" applyBorder="1" applyAlignment="1">
      <alignment vertical="center" shrinkToFit="1"/>
    </xf>
    <xf numFmtId="0" fontId="13" fillId="0" borderId="117" xfId="0" applyFont="1" applyBorder="1" applyAlignment="1">
      <alignment vertical="center" shrinkToFit="1"/>
    </xf>
    <xf numFmtId="0" fontId="4" fillId="0" borderId="122" xfId="0" applyFont="1" applyBorder="1" applyAlignment="1">
      <alignment horizontal="center" vertical="center"/>
    </xf>
    <xf numFmtId="0" fontId="4" fillId="0" borderId="112" xfId="0" applyFont="1" applyBorder="1" applyAlignment="1">
      <alignment horizontal="center" vertical="center"/>
    </xf>
    <xf numFmtId="0" fontId="4" fillId="0" borderId="123" xfId="0" applyFont="1" applyBorder="1" applyAlignment="1">
      <alignment horizontal="center" vertical="center"/>
    </xf>
    <xf numFmtId="178" fontId="14" fillId="0" borderId="189" xfId="0" applyNumberFormat="1" applyFont="1" applyBorder="1" applyAlignment="1">
      <alignment horizontal="center" vertical="center" textRotation="255" shrinkToFit="1"/>
    </xf>
    <xf numFmtId="178" fontId="14" fillId="0" borderId="56" xfId="0" applyNumberFormat="1" applyFont="1" applyBorder="1" applyAlignment="1">
      <alignment horizontal="center" vertical="center" textRotation="255" shrinkToFit="1"/>
    </xf>
    <xf numFmtId="178" fontId="14" fillId="0" borderId="96" xfId="0" applyNumberFormat="1" applyFont="1" applyBorder="1" applyAlignment="1">
      <alignment horizontal="center" vertical="center" textRotation="255" shrinkToFit="1"/>
    </xf>
    <xf numFmtId="178" fontId="8" fillId="0" borderId="39" xfId="0" applyNumberFormat="1" applyFont="1" applyBorder="1" applyAlignment="1">
      <alignment horizontal="center" vertical="center" shrinkToFit="1"/>
    </xf>
    <xf numFmtId="178" fontId="8" fillId="0" borderId="43" xfId="0" applyNumberFormat="1" applyFont="1" applyBorder="1" applyAlignment="1">
      <alignment horizontal="center" vertical="center" shrinkToFit="1"/>
    </xf>
    <xf numFmtId="178" fontId="8" fillId="0" borderId="41" xfId="0" applyNumberFormat="1" applyFont="1" applyBorder="1" applyAlignment="1">
      <alignment horizontal="center" vertical="center" shrinkToFit="1"/>
    </xf>
    <xf numFmtId="178" fontId="8" fillId="0" borderId="45" xfId="0" applyNumberFormat="1" applyFont="1" applyBorder="1" applyAlignment="1">
      <alignment horizontal="center" vertical="center" shrinkToFit="1"/>
    </xf>
    <xf numFmtId="178" fontId="8" fillId="0" borderId="190" xfId="0" applyNumberFormat="1" applyFont="1" applyBorder="1" applyAlignment="1">
      <alignment horizontal="center" vertical="center" shrinkToFit="1"/>
    </xf>
    <xf numFmtId="178" fontId="8" fillId="0" borderId="191" xfId="0" applyNumberFormat="1" applyFont="1" applyBorder="1" applyAlignment="1">
      <alignment horizontal="center" vertical="center" shrinkToFit="1"/>
    </xf>
    <xf numFmtId="177" fontId="14" fillId="0" borderId="192" xfId="0" applyNumberFormat="1" applyFont="1" applyBorder="1" applyAlignment="1">
      <alignment horizontal="center" vertical="center" shrinkToFit="1"/>
    </xf>
    <xf numFmtId="177" fontId="14" fillId="0" borderId="126" xfId="0" applyNumberFormat="1" applyFont="1" applyBorder="1" applyAlignment="1">
      <alignment horizontal="center" vertical="center" shrinkToFit="1"/>
    </xf>
    <xf numFmtId="177" fontId="14" fillId="0" borderId="127" xfId="0" applyNumberFormat="1" applyFont="1" applyBorder="1" applyAlignment="1">
      <alignment horizontal="center" vertical="center" shrinkToFit="1"/>
    </xf>
    <xf numFmtId="177" fontId="8" fillId="0" borderId="121" xfId="0" applyNumberFormat="1" applyFont="1" applyBorder="1" applyAlignment="1">
      <alignment vertical="center" shrinkToFit="1"/>
    </xf>
    <xf numFmtId="177" fontId="8" fillId="0" borderId="118" xfId="0" applyNumberFormat="1" applyFont="1" applyBorder="1" applyAlignment="1">
      <alignment vertical="center" shrinkToFit="1"/>
    </xf>
    <xf numFmtId="177" fontId="8" fillId="0" borderId="119" xfId="0" applyNumberFormat="1" applyFont="1" applyBorder="1" applyAlignment="1">
      <alignment vertical="center" shrinkToFit="1"/>
    </xf>
    <xf numFmtId="177" fontId="8" fillId="0" borderId="39" xfId="0" applyNumberFormat="1" applyFont="1" applyBorder="1" applyAlignment="1">
      <alignment vertical="center" shrinkToFit="1"/>
    </xf>
    <xf numFmtId="177" fontId="8" fillId="0" borderId="107" xfId="0" applyNumberFormat="1" applyFont="1" applyBorder="1" applyAlignment="1">
      <alignment vertical="center" shrinkToFit="1"/>
    </xf>
    <xf numFmtId="177" fontId="8" fillId="0" borderId="108" xfId="0" applyNumberFormat="1" applyFont="1" applyBorder="1" applyAlignment="1">
      <alignment vertical="center" shrinkToFit="1"/>
    </xf>
    <xf numFmtId="177" fontId="8" fillId="0" borderId="41" xfId="0" applyNumberFormat="1" applyFont="1" applyBorder="1" applyAlignment="1">
      <alignment vertical="center" shrinkToFit="1"/>
    </xf>
    <xf numFmtId="177" fontId="8" fillId="0" borderId="104" xfId="0" applyNumberFormat="1" applyFont="1" applyBorder="1" applyAlignment="1">
      <alignment vertical="center" shrinkToFit="1"/>
    </xf>
    <xf numFmtId="177" fontId="8" fillId="0" borderId="105" xfId="0" applyNumberFormat="1" applyFont="1" applyBorder="1" applyAlignment="1">
      <alignment vertical="center" shrinkToFit="1"/>
    </xf>
    <xf numFmtId="177" fontId="8" fillId="0" borderId="190" xfId="0" applyNumberFormat="1" applyFont="1" applyBorder="1" applyAlignment="1">
      <alignment vertical="center" shrinkToFit="1"/>
    </xf>
    <xf numFmtId="177" fontId="8" fillId="0" borderId="124" xfId="0" applyNumberFormat="1" applyFont="1" applyBorder="1" applyAlignment="1">
      <alignment vertical="center" shrinkToFit="1"/>
    </xf>
    <xf numFmtId="177" fontId="8" fillId="0" borderId="187" xfId="0" applyNumberFormat="1" applyFont="1" applyBorder="1" applyAlignment="1">
      <alignment vertical="center" shrinkToFit="1"/>
    </xf>
    <xf numFmtId="178" fontId="2" fillId="0" borderId="13" xfId="0" applyNumberFormat="1" applyFont="1" applyBorder="1" applyAlignment="1">
      <alignment vertical="center"/>
    </xf>
    <xf numFmtId="178" fontId="2" fillId="0" borderId="16" xfId="0" applyNumberFormat="1" applyFont="1" applyBorder="1" applyAlignment="1">
      <alignment vertical="center"/>
    </xf>
    <xf numFmtId="178" fontId="2" fillId="0" borderId="120" xfId="0" applyNumberFormat="1" applyFont="1" applyBorder="1" applyAlignment="1">
      <alignment vertical="center"/>
    </xf>
    <xf numFmtId="0" fontId="4" fillId="0" borderId="9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185" xfId="0" applyFont="1" applyBorder="1" applyAlignment="1">
      <alignment horizontal="center" vertical="center"/>
    </xf>
    <xf numFmtId="0" fontId="4" fillId="0" borderId="0" xfId="0" applyFont="1" applyBorder="1" applyAlignment="1">
      <alignment horizontal="center" vertical="center"/>
    </xf>
    <xf numFmtId="0" fontId="4" fillId="0" borderId="22" xfId="0" applyFont="1" applyBorder="1" applyAlignment="1">
      <alignment horizontal="center" vertical="center"/>
    </xf>
    <xf numFmtId="0" fontId="4" fillId="0" borderId="186"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176" fontId="2" fillId="0" borderId="133" xfId="0" applyNumberFormat="1" applyFont="1" applyBorder="1" applyAlignment="1">
      <alignment vertical="center"/>
    </xf>
    <xf numFmtId="176" fontId="2" fillId="0" borderId="134" xfId="0" applyNumberFormat="1" applyFont="1" applyBorder="1" applyAlignment="1">
      <alignment vertical="center"/>
    </xf>
    <xf numFmtId="176" fontId="2" fillId="0" borderId="135" xfId="0" applyNumberFormat="1" applyFont="1" applyBorder="1" applyAlignment="1">
      <alignment vertical="center"/>
    </xf>
    <xf numFmtId="176" fontId="10" fillId="0" borderId="90" xfId="0" applyNumberFormat="1" applyFont="1" applyBorder="1" applyAlignment="1">
      <alignment vertical="center"/>
    </xf>
    <xf numFmtId="176" fontId="10" fillId="0" borderId="91" xfId="0" applyNumberFormat="1" applyFont="1" applyBorder="1" applyAlignment="1">
      <alignment vertical="center"/>
    </xf>
    <xf numFmtId="0" fontId="9" fillId="0" borderId="157" xfId="0" applyFont="1" applyBorder="1" applyAlignment="1">
      <alignment horizontal="center" vertical="center" wrapText="1"/>
    </xf>
    <xf numFmtId="0" fontId="9" fillId="0" borderId="158" xfId="0" applyFont="1" applyBorder="1" applyAlignment="1">
      <alignment horizontal="center" vertical="center"/>
    </xf>
    <xf numFmtId="0" fontId="9" fillId="0" borderId="160" xfId="0" applyFont="1" applyBorder="1" applyAlignment="1">
      <alignment horizontal="center" vertical="center"/>
    </xf>
    <xf numFmtId="0" fontId="9" fillId="0" borderId="161" xfId="0" applyFont="1" applyBorder="1" applyAlignment="1">
      <alignment horizontal="center" vertical="center"/>
    </xf>
    <xf numFmtId="177" fontId="10" fillId="0" borderId="158" xfId="0" applyNumberFormat="1" applyFont="1" applyBorder="1" applyAlignment="1">
      <alignment vertical="center"/>
    </xf>
    <xf numFmtId="177" fontId="10" fillId="0" borderId="159" xfId="0" applyNumberFormat="1" applyFont="1" applyBorder="1" applyAlignment="1">
      <alignment vertical="center"/>
    </xf>
    <xf numFmtId="177" fontId="10" fillId="0" borderId="161" xfId="0" applyNumberFormat="1" applyFont="1" applyBorder="1" applyAlignment="1">
      <alignment vertical="center"/>
    </xf>
    <xf numFmtId="177" fontId="10" fillId="0" borderId="162" xfId="0" applyNumberFormat="1" applyFont="1" applyBorder="1" applyAlignment="1">
      <alignment vertical="center"/>
    </xf>
    <xf numFmtId="177" fontId="2" fillId="0" borderId="5" xfId="0" applyNumberFormat="1" applyFont="1" applyBorder="1" applyAlignment="1">
      <alignment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226" xfId="0" applyFont="1" applyFill="1" applyBorder="1" applyAlignment="1">
      <alignment horizontal="center" vertical="center"/>
    </xf>
    <xf numFmtId="0" fontId="4" fillId="3" borderId="180" xfId="0" applyFont="1" applyFill="1" applyBorder="1" applyAlignment="1">
      <alignment horizontal="center" vertical="center"/>
    </xf>
    <xf numFmtId="0" fontId="4" fillId="3" borderId="142" xfId="0" applyFont="1" applyFill="1" applyBorder="1" applyAlignment="1">
      <alignment horizontal="center" vertical="center"/>
    </xf>
    <xf numFmtId="0" fontId="4" fillId="3" borderId="163" xfId="0" applyFont="1" applyFill="1" applyBorder="1" applyAlignment="1">
      <alignment horizontal="center" vertical="center"/>
    </xf>
    <xf numFmtId="0" fontId="4" fillId="13" borderId="5" xfId="0" applyFont="1" applyFill="1" applyBorder="1" applyAlignment="1">
      <alignment horizontal="center" vertical="center"/>
    </xf>
    <xf numFmtId="0" fontId="11" fillId="0" borderId="0" xfId="0" applyFont="1" applyAlignment="1">
      <alignment horizontal="center" vertical="center"/>
    </xf>
    <xf numFmtId="0" fontId="11" fillId="0" borderId="24" xfId="0" applyFont="1" applyBorder="1" applyAlignment="1">
      <alignment horizontal="center" vertical="center"/>
    </xf>
    <xf numFmtId="0" fontId="4" fillId="0" borderId="13"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3" borderId="13" xfId="0" applyFont="1" applyFill="1" applyBorder="1" applyAlignment="1">
      <alignment vertical="center"/>
    </xf>
    <xf numFmtId="0" fontId="4" fillId="3" borderId="16" xfId="0" applyFont="1" applyFill="1" applyBorder="1" applyAlignment="1">
      <alignment vertical="center"/>
    </xf>
    <xf numFmtId="0" fontId="4" fillId="3" borderId="17" xfId="0" applyFont="1" applyFill="1" applyBorder="1" applyAlignment="1">
      <alignment vertical="center"/>
    </xf>
    <xf numFmtId="0" fontId="4" fillId="0" borderId="120" xfId="0" applyFont="1" applyBorder="1" applyAlignment="1">
      <alignment horizontal="center" vertical="center"/>
    </xf>
    <xf numFmtId="176" fontId="2" fillId="3" borderId="13" xfId="0" applyNumberFormat="1" applyFont="1" applyFill="1" applyBorder="1" applyAlignment="1">
      <alignment vertical="center"/>
    </xf>
    <xf numFmtId="176" fontId="2" fillId="3" borderId="16" xfId="0" applyNumberFormat="1" applyFont="1" applyFill="1" applyBorder="1" applyAlignment="1">
      <alignment vertical="center"/>
    </xf>
    <xf numFmtId="176" fontId="2" fillId="3" borderId="120" xfId="0" applyNumberFormat="1" applyFont="1" applyFill="1" applyBorder="1" applyAlignment="1">
      <alignment vertical="center"/>
    </xf>
    <xf numFmtId="176" fontId="2" fillId="3" borderId="111" xfId="0" applyNumberFormat="1" applyFont="1" applyFill="1" applyBorder="1" applyAlignment="1">
      <alignment vertical="center"/>
    </xf>
    <xf numFmtId="176" fontId="2" fillId="3" borderId="112" xfId="0" applyNumberFormat="1" applyFont="1" applyFill="1" applyBorder="1" applyAlignment="1">
      <alignment vertical="center"/>
    </xf>
    <xf numFmtId="176" fontId="2" fillId="3" borderId="113" xfId="0" applyNumberFormat="1" applyFont="1" applyFill="1" applyBorder="1" applyAlignment="1">
      <alignment vertical="center"/>
    </xf>
    <xf numFmtId="0" fontId="4" fillId="3" borderId="14" xfId="0" applyFont="1" applyFill="1" applyBorder="1" applyAlignment="1">
      <alignment horizontal="center" vertical="center"/>
    </xf>
    <xf numFmtId="0" fontId="4" fillId="0" borderId="138" xfId="0" applyFont="1" applyBorder="1" applyAlignment="1">
      <alignment horizontal="center" vertical="center"/>
    </xf>
    <xf numFmtId="0" fontId="16" fillId="0" borderId="0" xfId="0" applyFont="1" applyAlignment="1">
      <alignment vertical="center" wrapText="1"/>
    </xf>
    <xf numFmtId="0" fontId="16" fillId="0" borderId="171" xfId="0" applyFont="1" applyBorder="1" applyAlignment="1">
      <alignment vertical="center" wrapText="1"/>
    </xf>
    <xf numFmtId="0" fontId="9" fillId="0" borderId="19" xfId="0" applyFont="1" applyBorder="1" applyAlignment="1"/>
    <xf numFmtId="0" fontId="9" fillId="0" borderId="0" xfId="0" applyFont="1" applyAlignment="1"/>
    <xf numFmtId="0" fontId="4" fillId="0" borderId="0" xfId="0" applyFont="1" applyAlignment="1">
      <alignment wrapText="1"/>
    </xf>
    <xf numFmtId="0" fontId="4" fillId="0" borderId="171" xfId="0" applyFont="1" applyBorder="1" applyAlignment="1">
      <alignment wrapText="1"/>
    </xf>
    <xf numFmtId="0" fontId="5" fillId="0" borderId="183" xfId="0" applyFont="1" applyBorder="1" applyAlignment="1">
      <alignment horizontal="center" vertical="center"/>
    </xf>
    <xf numFmtId="0" fontId="5" fillId="0" borderId="16" xfId="0" applyFont="1" applyBorder="1" applyAlignment="1">
      <alignment horizontal="center" vertical="center"/>
    </xf>
    <xf numFmtId="0" fontId="5" fillId="0" borderId="184" xfId="0" applyFont="1" applyBorder="1" applyAlignment="1">
      <alignment horizontal="center" vertical="center"/>
    </xf>
    <xf numFmtId="0" fontId="4" fillId="0" borderId="43" xfId="0" applyFont="1" applyBorder="1" applyAlignment="1">
      <alignment horizontal="center" vertical="center"/>
    </xf>
    <xf numFmtId="0" fontId="4" fillId="0" borderId="103" xfId="0" applyFont="1" applyBorder="1" applyAlignment="1">
      <alignment horizontal="center" vertical="center"/>
    </xf>
    <xf numFmtId="0" fontId="4" fillId="0" borderId="45" xfId="0" applyFont="1" applyBorder="1" applyAlignment="1">
      <alignment horizontal="center" vertical="center"/>
    </xf>
    <xf numFmtId="0" fontId="4" fillId="0" borderId="100" xfId="0" applyFont="1" applyBorder="1" applyAlignment="1">
      <alignment horizontal="center" vertical="center"/>
    </xf>
    <xf numFmtId="0" fontId="4" fillId="0" borderId="42" xfId="0" applyFont="1" applyBorder="1" applyAlignment="1">
      <alignment horizontal="center" vertical="center"/>
    </xf>
    <xf numFmtId="0" fontId="5" fillId="0" borderId="13" xfId="0" applyFont="1" applyBorder="1" applyAlignment="1">
      <alignment horizontal="center" vertical="center"/>
    </xf>
    <xf numFmtId="0" fontId="4" fillId="0" borderId="184" xfId="0" applyFont="1" applyBorder="1" applyAlignment="1">
      <alignment horizontal="center" vertical="center"/>
    </xf>
    <xf numFmtId="0" fontId="4" fillId="0" borderId="101" xfId="0" applyFont="1" applyBorder="1" applyAlignment="1">
      <alignment horizontal="center" vertical="center"/>
    </xf>
    <xf numFmtId="0" fontId="4" fillId="0" borderId="102" xfId="0" applyFont="1" applyBorder="1" applyAlignment="1">
      <alignment horizontal="center" vertical="center"/>
    </xf>
    <xf numFmtId="176" fontId="10" fillId="0" borderId="2" xfId="0" applyNumberFormat="1" applyFont="1" applyBorder="1" applyAlignment="1">
      <alignment vertical="center"/>
    </xf>
    <xf numFmtId="176" fontId="10" fillId="0" borderId="146" xfId="0" applyNumberFormat="1" applyFont="1" applyBorder="1" applyAlignment="1">
      <alignment vertical="center"/>
    </xf>
    <xf numFmtId="176" fontId="10" fillId="0" borderId="147" xfId="0" applyNumberFormat="1" applyFont="1" applyBorder="1" applyAlignment="1">
      <alignment vertical="center"/>
    </xf>
    <xf numFmtId="176" fontId="2" fillId="0" borderId="152" xfId="0" applyNumberFormat="1" applyFont="1" applyBorder="1" applyAlignment="1">
      <alignment vertical="center"/>
    </xf>
    <xf numFmtId="176" fontId="2" fillId="3" borderId="14" xfId="0" applyNumberFormat="1" applyFont="1" applyFill="1" applyBorder="1" applyAlignment="1">
      <alignment vertical="center"/>
    </xf>
    <xf numFmtId="176" fontId="2" fillId="3" borderId="110" xfId="0" applyNumberFormat="1" applyFont="1" applyFill="1" applyBorder="1" applyAlignment="1">
      <alignment vertical="center"/>
    </xf>
    <xf numFmtId="176" fontId="2" fillId="3" borderId="143" xfId="0" applyNumberFormat="1" applyFont="1" applyFill="1" applyBorder="1" applyAlignment="1">
      <alignment vertical="center"/>
    </xf>
    <xf numFmtId="176" fontId="2" fillId="3" borderId="163" xfId="0" applyNumberFormat="1" applyFont="1" applyFill="1" applyBorder="1" applyAlignment="1">
      <alignment vertical="center"/>
    </xf>
    <xf numFmtId="176" fontId="2" fillId="3" borderId="15" xfId="0" applyNumberFormat="1" applyFont="1" applyFill="1" applyBorder="1" applyAlignment="1">
      <alignment vertical="center"/>
    </xf>
    <xf numFmtId="176" fontId="2" fillId="3" borderId="179" xfId="0" applyNumberFormat="1" applyFont="1" applyFill="1" applyBorder="1" applyAlignment="1">
      <alignment vertical="center"/>
    </xf>
    <xf numFmtId="176" fontId="2" fillId="3" borderId="180" xfId="0" applyNumberFormat="1" applyFont="1" applyFill="1" applyBorder="1" applyAlignment="1">
      <alignment vertical="center"/>
    </xf>
    <xf numFmtId="0" fontId="4" fillId="3" borderId="14" xfId="0" applyFont="1" applyFill="1" applyBorder="1" applyAlignment="1">
      <alignment vertical="center" shrinkToFit="1"/>
    </xf>
    <xf numFmtId="0" fontId="4" fillId="3" borderId="110" xfId="0" applyFont="1" applyFill="1" applyBorder="1" applyAlignment="1">
      <alignment vertical="center" shrinkToFit="1"/>
    </xf>
    <xf numFmtId="0" fontId="4" fillId="3" borderId="163" xfId="0" applyFont="1" applyFill="1" applyBorder="1" applyAlignment="1">
      <alignment vertical="center" shrinkToFit="1"/>
    </xf>
    <xf numFmtId="0" fontId="4" fillId="3" borderId="15" xfId="0" applyFont="1" applyFill="1" applyBorder="1" applyAlignment="1">
      <alignment vertical="center" shrinkToFit="1"/>
    </xf>
    <xf numFmtId="0" fontId="4" fillId="3" borderId="179" xfId="0" applyFont="1" applyFill="1" applyBorder="1" applyAlignment="1">
      <alignment vertical="center" shrinkToFit="1"/>
    </xf>
    <xf numFmtId="0" fontId="4" fillId="3" borderId="180" xfId="0" applyFont="1" applyFill="1" applyBorder="1" applyAlignment="1">
      <alignment vertical="center" shrinkToFit="1"/>
    </xf>
    <xf numFmtId="176" fontId="2" fillId="0" borderId="137" xfId="0" applyNumberFormat="1" applyFont="1" applyBorder="1" applyAlignment="1">
      <alignment vertical="center"/>
    </xf>
    <xf numFmtId="176" fontId="2" fillId="0" borderId="138" xfId="0" applyNumberFormat="1" applyFont="1" applyBorder="1" applyAlignment="1">
      <alignment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4" fillId="0" borderId="137" xfId="0" applyFont="1" applyBorder="1" applyAlignment="1">
      <alignment horizontal="center" vertical="center"/>
    </xf>
    <xf numFmtId="176" fontId="10" fillId="0" borderId="1" xfId="0" applyNumberFormat="1" applyFont="1" applyBorder="1" applyAlignment="1">
      <alignment vertical="center"/>
    </xf>
    <xf numFmtId="176" fontId="2" fillId="0" borderId="151" xfId="0" applyNumberFormat="1" applyFont="1" applyBorder="1" applyAlignment="1">
      <alignment vertical="center"/>
    </xf>
    <xf numFmtId="176" fontId="2" fillId="0" borderId="141" xfId="0" applyNumberFormat="1" applyFont="1" applyBorder="1" applyAlignment="1">
      <alignment vertical="center"/>
    </xf>
    <xf numFmtId="176" fontId="10" fillId="0" borderId="155" xfId="0" applyNumberFormat="1" applyFont="1" applyBorder="1" applyAlignment="1">
      <alignment vertical="center"/>
    </xf>
    <xf numFmtId="176" fontId="10" fillId="0" borderId="156" xfId="0" applyNumberFormat="1" applyFont="1" applyBorder="1" applyAlignment="1">
      <alignment vertical="center"/>
    </xf>
    <xf numFmtId="0" fontId="2" fillId="0" borderId="21" xfId="0" applyFont="1" applyBorder="1" applyAlignment="1">
      <alignment horizontal="center" vertical="center"/>
    </xf>
    <xf numFmtId="0" fontId="2" fillId="0" borderId="0" xfId="0" applyFont="1" applyBorder="1" applyAlignment="1">
      <alignment horizontal="center" vertical="center"/>
    </xf>
    <xf numFmtId="0" fontId="2" fillId="0" borderId="153" xfId="0" applyFont="1" applyBorder="1" applyAlignment="1">
      <alignment horizontal="center" vertical="center"/>
    </xf>
    <xf numFmtId="0" fontId="2" fillId="0" borderId="154" xfId="0" applyFont="1" applyBorder="1" applyAlignment="1">
      <alignment horizontal="center" vertical="center"/>
    </xf>
    <xf numFmtId="0" fontId="2" fillId="0" borderId="149" xfId="0" applyFont="1" applyBorder="1" applyAlignment="1">
      <alignment vertical="center"/>
    </xf>
    <xf numFmtId="0" fontId="2" fillId="0" borderId="150" xfId="0" applyFont="1" applyBorder="1" applyAlignment="1">
      <alignment vertical="center"/>
    </xf>
    <xf numFmtId="0" fontId="2" fillId="0" borderId="145" xfId="0" applyFont="1" applyBorder="1" applyAlignment="1">
      <alignment horizontal="center" vertical="center"/>
    </xf>
    <xf numFmtId="0" fontId="2" fillId="0" borderId="126" xfId="0" applyFont="1" applyBorder="1" applyAlignment="1">
      <alignment horizontal="center" vertical="center"/>
    </xf>
    <xf numFmtId="0" fontId="2" fillId="0" borderId="122" xfId="0" applyFont="1" applyBorder="1" applyAlignment="1">
      <alignment horizontal="center" vertical="center"/>
    </xf>
    <xf numFmtId="0" fontId="2" fillId="0" borderId="112" xfId="0" applyFont="1" applyBorder="1" applyAlignment="1">
      <alignment horizontal="center" vertical="center"/>
    </xf>
    <xf numFmtId="0" fontId="2" fillId="0" borderId="131" xfId="0" applyFont="1" applyBorder="1" applyAlignment="1">
      <alignment horizontal="center" vertical="center"/>
    </xf>
    <xf numFmtId="0" fontId="2" fillId="0" borderId="132" xfId="0" applyFont="1" applyBorder="1" applyAlignment="1">
      <alignment horizontal="center" vertical="center"/>
    </xf>
    <xf numFmtId="176" fontId="2" fillId="0" borderId="227" xfId="0" applyNumberFormat="1" applyFont="1" applyBorder="1" applyAlignment="1">
      <alignment vertical="center"/>
    </xf>
    <xf numFmtId="176" fontId="2" fillId="0" borderId="220" xfId="0" applyNumberFormat="1" applyFont="1" applyBorder="1" applyAlignment="1">
      <alignment vertical="center"/>
    </xf>
    <xf numFmtId="176" fontId="2" fillId="0" borderId="228" xfId="0" applyNumberFormat="1" applyFont="1" applyBorder="1" applyAlignment="1">
      <alignment vertical="center"/>
    </xf>
    <xf numFmtId="176" fontId="2" fillId="0" borderId="140" xfId="0" applyNumberFormat="1" applyFont="1" applyBorder="1" applyAlignment="1">
      <alignment vertical="center"/>
    </xf>
    <xf numFmtId="176" fontId="10" fillId="0" borderId="111" xfId="0" applyNumberFormat="1" applyFont="1" applyBorder="1" applyAlignment="1">
      <alignment vertical="center"/>
    </xf>
    <xf numFmtId="176" fontId="10" fillId="0" borderId="112" xfId="0" applyNumberFormat="1" applyFont="1" applyBorder="1" applyAlignment="1">
      <alignment vertical="center"/>
    </xf>
    <xf numFmtId="176" fontId="10" fillId="0" borderId="113" xfId="0" applyNumberFormat="1" applyFont="1" applyBorder="1" applyAlignment="1">
      <alignment vertical="center"/>
    </xf>
    <xf numFmtId="176" fontId="2" fillId="0" borderId="229" xfId="0" applyNumberFormat="1" applyFont="1" applyBorder="1" applyAlignment="1">
      <alignment vertical="center"/>
    </xf>
    <xf numFmtId="176" fontId="7" fillId="0" borderId="36" xfId="0" applyNumberFormat="1" applyFont="1" applyBorder="1" applyAlignment="1">
      <alignment vertical="center"/>
    </xf>
    <xf numFmtId="176" fontId="5" fillId="0" borderId="53" xfId="0" applyNumberFormat="1" applyFont="1" applyBorder="1" applyAlignment="1">
      <alignment vertical="center"/>
    </xf>
    <xf numFmtId="0" fontId="4" fillId="0" borderId="115" xfId="0" applyFont="1" applyBorder="1" applyAlignment="1">
      <alignment horizontal="center" vertical="center"/>
    </xf>
    <xf numFmtId="0" fontId="5" fillId="0" borderId="35" xfId="0" applyFont="1" applyBorder="1" applyAlignment="1">
      <alignment horizontal="center" vertical="center"/>
    </xf>
    <xf numFmtId="0" fontId="5" fillId="0" borderId="40" xfId="0" applyFont="1" applyBorder="1" applyAlignment="1">
      <alignment horizontal="center" vertical="center"/>
    </xf>
    <xf numFmtId="0" fontId="5" fillId="0" borderId="29" xfId="0" applyFont="1" applyBorder="1" applyAlignment="1">
      <alignment horizontal="center" vertical="center"/>
    </xf>
    <xf numFmtId="0" fontId="5" fillId="0" borderId="41" xfId="0" applyFont="1" applyBorder="1" applyAlignment="1">
      <alignment horizontal="center" vertical="center"/>
    </xf>
    <xf numFmtId="10" fontId="2" fillId="2" borderId="2" xfId="0" applyNumberFormat="1" applyFont="1" applyFill="1" applyBorder="1" applyAlignment="1">
      <alignment vertical="center"/>
    </xf>
    <xf numFmtId="10" fontId="2" fillId="2" borderId="3" xfId="0" applyNumberFormat="1" applyFont="1" applyFill="1" applyBorder="1" applyAlignment="1">
      <alignment vertical="center"/>
    </xf>
    <xf numFmtId="10" fontId="2" fillId="2" borderId="5" xfId="0" applyNumberFormat="1" applyFont="1" applyFill="1" applyBorder="1" applyAlignment="1">
      <alignment vertical="center"/>
    </xf>
    <xf numFmtId="10" fontId="2" fillId="2" borderId="6" xfId="0" applyNumberFormat="1" applyFont="1" applyFill="1" applyBorder="1" applyAlignment="1">
      <alignment vertical="center"/>
    </xf>
    <xf numFmtId="177" fontId="2" fillId="2" borderId="5" xfId="0" applyNumberFormat="1" applyFont="1" applyFill="1" applyBorder="1" applyAlignment="1">
      <alignment vertical="center"/>
    </xf>
    <xf numFmtId="177" fontId="2" fillId="2" borderId="6" xfId="0" applyNumberFormat="1" applyFont="1" applyFill="1" applyBorder="1" applyAlignment="1">
      <alignment vertical="center"/>
    </xf>
    <xf numFmtId="0" fontId="4" fillId="0" borderId="1" xfId="0" applyFont="1" applyBorder="1" applyAlignment="1">
      <alignment horizontal="center" vertical="center" textRotation="255" shrinkToFit="1"/>
    </xf>
    <xf numFmtId="0" fontId="4" fillId="0" borderId="4" xfId="0" applyFont="1" applyBorder="1" applyAlignment="1">
      <alignment horizontal="center" vertical="center" textRotation="255" shrinkToFit="1"/>
    </xf>
    <xf numFmtId="0" fontId="4" fillId="0" borderId="7" xfId="0" applyFont="1" applyBorder="1" applyAlignment="1">
      <alignment horizontal="center" vertical="center" textRotation="255" shrinkToFit="1"/>
    </xf>
    <xf numFmtId="177" fontId="2" fillId="2" borderId="21" xfId="0" applyNumberFormat="1" applyFont="1" applyFill="1" applyBorder="1" applyAlignment="1">
      <alignment vertical="center"/>
    </xf>
    <xf numFmtId="177" fontId="2" fillId="2" borderId="0" xfId="0" applyNumberFormat="1" applyFont="1" applyFill="1" applyBorder="1" applyAlignment="1">
      <alignment vertical="center"/>
    </xf>
    <xf numFmtId="0" fontId="4" fillId="0" borderId="137" xfId="0" applyFont="1" applyBorder="1" applyAlignment="1">
      <alignment horizontal="center" vertical="center" textRotation="255" shrinkToFit="1"/>
    </xf>
    <xf numFmtId="0" fontId="4" fillId="0" borderId="140" xfId="0" applyFont="1" applyBorder="1" applyAlignment="1">
      <alignment horizontal="center" vertical="center" textRotation="255" shrinkToFit="1"/>
    </xf>
    <xf numFmtId="0" fontId="4" fillId="0" borderId="164" xfId="0" applyFont="1" applyBorder="1" applyAlignment="1">
      <alignment horizontal="center" vertical="center" textRotation="255" shrinkToFit="1"/>
    </xf>
    <xf numFmtId="10" fontId="2" fillId="2" borderId="111" xfId="0" applyNumberFormat="1" applyFont="1" applyFill="1" applyBorder="1" applyAlignment="1">
      <alignment vertical="center"/>
    </xf>
    <xf numFmtId="10" fontId="2" fillId="2" borderId="112" xfId="0" applyNumberFormat="1" applyFont="1" applyFill="1" applyBorder="1" applyAlignment="1">
      <alignment vertical="center"/>
    </xf>
    <xf numFmtId="10" fontId="2" fillId="2" borderId="123" xfId="0" applyNumberFormat="1" applyFont="1" applyFill="1" applyBorder="1" applyAlignment="1">
      <alignment vertical="center"/>
    </xf>
    <xf numFmtId="0" fontId="5" fillId="0" borderId="46" xfId="0" applyFont="1" applyBorder="1" applyAlignment="1">
      <alignment horizontal="center" vertical="center"/>
    </xf>
    <xf numFmtId="0" fontId="5" fillId="0" borderId="47" xfId="0" applyFont="1" applyBorder="1" applyAlignment="1">
      <alignment horizontal="center" vertical="center"/>
    </xf>
    <xf numFmtId="0" fontId="4" fillId="0" borderId="15" xfId="0" applyFont="1" applyBorder="1" applyAlignment="1">
      <alignment horizontal="center" vertical="center"/>
    </xf>
    <xf numFmtId="0" fontId="4" fillId="0" borderId="180" xfId="0" applyFont="1" applyBorder="1" applyAlignment="1">
      <alignment horizontal="center" vertical="center"/>
    </xf>
    <xf numFmtId="0" fontId="4" fillId="0" borderId="14" xfId="0" applyFont="1" applyBorder="1" applyAlignment="1">
      <alignment horizontal="center" vertical="center"/>
    </xf>
    <xf numFmtId="0" fontId="4" fillId="0" borderId="163"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shrinkToFit="1"/>
    </xf>
    <xf numFmtId="0" fontId="4" fillId="3" borderId="15" xfId="0" applyFont="1" applyFill="1" applyBorder="1" applyAlignment="1">
      <alignment horizontal="center" vertical="center"/>
    </xf>
    <xf numFmtId="176" fontId="2" fillId="3" borderId="181" xfId="0" applyNumberFormat="1" applyFont="1" applyFill="1" applyBorder="1" applyAlignment="1">
      <alignment vertical="center"/>
    </xf>
    <xf numFmtId="177" fontId="2" fillId="2" borderId="8" xfId="0" applyNumberFormat="1" applyFont="1" applyFill="1" applyBorder="1" applyAlignment="1">
      <alignment vertical="center"/>
    </xf>
    <xf numFmtId="177" fontId="2" fillId="2" borderId="9" xfId="0" applyNumberFormat="1" applyFont="1" applyFill="1" applyBorder="1" applyAlignment="1">
      <alignment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177" fontId="2" fillId="2" borderId="14" xfId="0" applyNumberFormat="1" applyFont="1" applyFill="1" applyBorder="1" applyAlignment="1">
      <alignment vertical="center"/>
    </xf>
    <xf numFmtId="177" fontId="2" fillId="2" borderId="110" xfId="0" applyNumberFormat="1" applyFont="1" applyFill="1" applyBorder="1" applyAlignment="1">
      <alignment vertical="center"/>
    </xf>
    <xf numFmtId="177" fontId="2" fillId="2" borderId="143" xfId="0" applyNumberFormat="1" applyFont="1" applyFill="1" applyBorder="1" applyAlignment="1">
      <alignment vertical="center"/>
    </xf>
    <xf numFmtId="0" fontId="4" fillId="0" borderId="8" xfId="0" applyFont="1" applyBorder="1" applyAlignment="1">
      <alignment horizontal="center" vertical="center"/>
    </xf>
    <xf numFmtId="0" fontId="4" fillId="0" borderId="111" xfId="0" applyFont="1" applyBorder="1" applyAlignment="1">
      <alignment horizontal="center" vertical="center"/>
    </xf>
    <xf numFmtId="0" fontId="4" fillId="0" borderId="113" xfId="0" applyFont="1" applyBorder="1" applyAlignment="1">
      <alignment horizontal="center" vertical="center"/>
    </xf>
    <xf numFmtId="0" fontId="4" fillId="0" borderId="114" xfId="0" applyFont="1" applyBorder="1" applyAlignment="1">
      <alignment horizontal="center" vertical="center"/>
    </xf>
    <xf numFmtId="177" fontId="2" fillId="2" borderId="15" xfId="0" applyNumberFormat="1" applyFont="1" applyFill="1" applyBorder="1" applyAlignment="1">
      <alignment vertical="center"/>
    </xf>
    <xf numFmtId="177" fontId="2" fillId="2" borderId="179" xfId="0" applyNumberFormat="1" applyFont="1" applyFill="1" applyBorder="1" applyAlignment="1">
      <alignment vertical="center"/>
    </xf>
    <xf numFmtId="177" fontId="2" fillId="2" borderId="181" xfId="0" applyNumberFormat="1" applyFont="1" applyFill="1" applyBorder="1" applyAlignment="1">
      <alignment vertical="center"/>
    </xf>
    <xf numFmtId="0" fontId="5" fillId="0" borderId="165" xfId="0" applyFont="1" applyBorder="1" applyAlignment="1">
      <alignment horizontal="center" vertical="center"/>
    </xf>
    <xf numFmtId="0" fontId="5" fillId="0" borderId="17" xfId="0" applyFont="1" applyBorder="1" applyAlignment="1">
      <alignment horizontal="center" vertical="center"/>
    </xf>
    <xf numFmtId="0" fontId="4" fillId="0" borderId="182" xfId="0" applyFont="1" applyBorder="1" applyAlignment="1">
      <alignment horizontal="center" vertical="center"/>
    </xf>
    <xf numFmtId="10" fontId="2" fillId="2" borderId="0" xfId="0" applyNumberFormat="1" applyFont="1" applyFill="1" applyBorder="1" applyAlignment="1">
      <alignment vertical="center"/>
    </xf>
    <xf numFmtId="177" fontId="2" fillId="2" borderId="22" xfId="0" applyNumberFormat="1" applyFont="1" applyFill="1" applyBorder="1" applyAlignment="1">
      <alignment vertical="center"/>
    </xf>
    <xf numFmtId="177" fontId="2" fillId="2" borderId="23" xfId="0" applyNumberFormat="1" applyFont="1" applyFill="1" applyBorder="1" applyAlignment="1">
      <alignment vertical="center"/>
    </xf>
    <xf numFmtId="177" fontId="2" fillId="2" borderId="24" xfId="0" applyNumberFormat="1" applyFont="1" applyFill="1" applyBorder="1" applyAlignment="1">
      <alignment vertical="center"/>
    </xf>
    <xf numFmtId="177" fontId="2" fillId="2" borderId="24" xfId="0" applyNumberFormat="1" applyFont="1" applyFill="1" applyBorder="1" applyAlignment="1">
      <alignment vertical="center" shrinkToFit="1"/>
    </xf>
    <xf numFmtId="177" fontId="2" fillId="2" borderId="25" xfId="0" applyNumberFormat="1" applyFont="1" applyFill="1" applyBorder="1" applyAlignment="1">
      <alignment vertical="center" shrinkToFit="1"/>
    </xf>
    <xf numFmtId="10" fontId="2" fillId="2" borderId="24" xfId="0" applyNumberFormat="1" applyFont="1" applyFill="1" applyBorder="1" applyAlignment="1">
      <alignment vertical="center"/>
    </xf>
    <xf numFmtId="177" fontId="2" fillId="2" borderId="25" xfId="0" applyNumberFormat="1" applyFont="1" applyFill="1" applyBorder="1" applyAlignment="1">
      <alignment vertical="center"/>
    </xf>
    <xf numFmtId="177" fontId="2" fillId="2" borderId="18" xfId="0" applyNumberFormat="1" applyFont="1" applyFill="1" applyBorder="1" applyAlignment="1">
      <alignment vertical="center"/>
    </xf>
    <xf numFmtId="177" fontId="2" fillId="2" borderId="19" xfId="0" applyNumberFormat="1" applyFont="1" applyFill="1" applyBorder="1" applyAlignment="1">
      <alignment vertical="center"/>
    </xf>
    <xf numFmtId="177" fontId="2" fillId="2" borderId="20" xfId="0" applyNumberFormat="1" applyFont="1" applyFill="1" applyBorder="1" applyAlignment="1">
      <alignment vertical="center"/>
    </xf>
    <xf numFmtId="10" fontId="2" fillId="2" borderId="19" xfId="0" applyNumberFormat="1" applyFont="1" applyFill="1" applyBorder="1" applyAlignment="1">
      <alignment vertical="center"/>
    </xf>
    <xf numFmtId="0" fontId="4" fillId="0" borderId="18" xfId="0" applyFont="1" applyBorder="1" applyAlignment="1">
      <alignment horizontal="center" vertical="center"/>
    </xf>
    <xf numFmtId="0" fontId="5" fillId="0" borderId="19" xfId="0" applyFont="1" applyBorder="1" applyAlignment="1">
      <alignment horizontal="center" vertical="center"/>
    </xf>
    <xf numFmtId="0" fontId="5" fillId="0" borderId="0" xfId="0" applyFont="1" applyBorder="1" applyAlignment="1">
      <alignment horizontal="center" vertical="center"/>
    </xf>
    <xf numFmtId="0" fontId="5" fillId="0" borderId="24" xfId="0" applyFont="1" applyBorder="1" applyAlignment="1">
      <alignment horizontal="center" vertical="center"/>
    </xf>
    <xf numFmtId="0" fontId="5" fillId="0" borderId="33" xfId="0" applyFont="1" applyBorder="1" applyAlignment="1">
      <alignment horizontal="center" vertical="center" shrinkToFit="1"/>
    </xf>
    <xf numFmtId="176" fontId="7" fillId="0" borderId="53" xfId="0" applyNumberFormat="1" applyFont="1" applyBorder="1" applyAlignment="1">
      <alignment vertical="center"/>
    </xf>
    <xf numFmtId="0" fontId="5" fillId="0" borderId="34" xfId="0" applyFont="1" applyBorder="1" applyAlignment="1">
      <alignment horizontal="center" vertical="center" shrinkToFit="1"/>
    </xf>
    <xf numFmtId="176" fontId="7" fillId="0" borderId="37" xfId="0" applyNumberFormat="1" applyFont="1" applyBorder="1" applyAlignment="1">
      <alignment vertical="center"/>
    </xf>
    <xf numFmtId="176" fontId="7" fillId="0" borderId="30" xfId="0" applyNumberFormat="1" applyFont="1" applyBorder="1" applyAlignment="1">
      <alignment vertical="center"/>
    </xf>
    <xf numFmtId="176" fontId="7" fillId="0" borderId="31" xfId="0" applyNumberFormat="1" applyFont="1" applyBorder="1" applyAlignment="1">
      <alignment vertical="center"/>
    </xf>
    <xf numFmtId="176" fontId="7" fillId="0" borderId="48" xfId="0" applyNumberFormat="1" applyFont="1" applyBorder="1" applyAlignment="1">
      <alignment vertical="center"/>
    </xf>
    <xf numFmtId="176" fontId="7" fillId="0" borderId="49" xfId="0" applyNumberFormat="1" applyFont="1" applyBorder="1" applyAlignment="1">
      <alignment vertical="center"/>
    </xf>
    <xf numFmtId="176" fontId="7" fillId="0" borderId="54" xfId="0" applyNumberFormat="1" applyFont="1" applyBorder="1" applyAlignment="1">
      <alignment vertical="center"/>
    </xf>
    <xf numFmtId="176" fontId="7" fillId="0" borderId="58" xfId="0" applyNumberFormat="1" applyFont="1" applyBorder="1" applyAlignment="1">
      <alignment vertical="center"/>
    </xf>
    <xf numFmtId="176" fontId="7" fillId="0" borderId="59" xfId="0" applyNumberFormat="1" applyFont="1" applyBorder="1" applyAlignment="1">
      <alignment vertical="center"/>
    </xf>
    <xf numFmtId="176" fontId="7" fillId="0" borderId="38" xfId="0" applyNumberFormat="1" applyFont="1" applyBorder="1" applyAlignment="1">
      <alignment vertical="center"/>
    </xf>
    <xf numFmtId="176" fontId="7" fillId="0" borderId="101" xfId="0" applyNumberFormat="1" applyFont="1" applyBorder="1" applyAlignment="1">
      <alignment vertical="center"/>
    </xf>
    <xf numFmtId="176" fontId="7" fillId="0" borderId="42" xfId="0" applyNumberFormat="1" applyFont="1" applyBorder="1" applyAlignment="1">
      <alignment vertical="center"/>
    </xf>
    <xf numFmtId="176" fontId="7" fillId="0" borderId="41" xfId="0" applyNumberFormat="1" applyFont="1" applyBorder="1" applyAlignment="1">
      <alignment vertical="center"/>
    </xf>
    <xf numFmtId="176" fontId="7" fillId="0" borderId="104" xfId="0" applyNumberFormat="1" applyFont="1" applyBorder="1" applyAlignment="1">
      <alignment vertical="center"/>
    </xf>
    <xf numFmtId="176" fontId="7" fillId="0" borderId="45" xfId="0" applyNumberFormat="1" applyFont="1" applyBorder="1" applyAlignment="1">
      <alignment vertical="center"/>
    </xf>
    <xf numFmtId="176" fontId="7" fillId="0" borderId="175" xfId="0" applyNumberFormat="1" applyFont="1" applyBorder="1" applyAlignment="1">
      <alignment vertical="center"/>
    </xf>
    <xf numFmtId="176" fontId="7" fillId="0" borderId="134" xfId="0" applyNumberFormat="1" applyFont="1" applyBorder="1" applyAlignment="1">
      <alignment vertical="center"/>
    </xf>
    <xf numFmtId="176" fontId="7" fillId="0" borderId="176" xfId="0" applyNumberFormat="1" applyFont="1" applyBorder="1" applyAlignment="1">
      <alignment vertical="center"/>
    </xf>
    <xf numFmtId="0" fontId="5" fillId="0" borderId="39" xfId="0" applyFont="1" applyBorder="1" applyAlignment="1">
      <alignment horizontal="center" vertical="center" shrinkToFit="1"/>
    </xf>
    <xf numFmtId="176" fontId="7" fillId="0" borderId="40" xfId="0" applyNumberFormat="1" applyFont="1" applyBorder="1" applyAlignment="1">
      <alignment vertical="center"/>
    </xf>
    <xf numFmtId="176" fontId="7" fillId="0" borderId="84" xfId="0" applyNumberFormat="1" applyFont="1" applyBorder="1" applyAlignment="1">
      <alignment vertical="center"/>
    </xf>
    <xf numFmtId="176" fontId="7" fillId="0" borderId="85" xfId="0" applyNumberFormat="1" applyFont="1" applyBorder="1" applyAlignment="1">
      <alignment vertical="center"/>
    </xf>
    <xf numFmtId="0" fontId="5" fillId="0" borderId="62" xfId="0" applyFont="1" applyBorder="1" applyAlignment="1">
      <alignment horizontal="center" vertical="center" shrinkToFit="1"/>
    </xf>
    <xf numFmtId="0" fontId="5" fillId="0" borderId="27" xfId="0" applyFont="1" applyBorder="1" applyAlignment="1">
      <alignment horizontal="center" vertical="center" shrinkToFit="1"/>
    </xf>
    <xf numFmtId="0" fontId="5" fillId="0" borderId="28" xfId="0" applyFont="1" applyBorder="1" applyAlignment="1">
      <alignment horizontal="center" vertical="center" shrinkToFit="1"/>
    </xf>
    <xf numFmtId="0" fontId="5" fillId="0" borderId="65" xfId="0" applyFont="1" applyBorder="1" applyAlignment="1">
      <alignment horizontal="center" vertical="center" shrinkToFit="1"/>
    </xf>
    <xf numFmtId="0" fontId="5" fillId="0" borderId="48" xfId="0" applyFont="1" applyBorder="1" applyAlignment="1">
      <alignment horizontal="center" vertical="center" shrinkToFit="1"/>
    </xf>
    <xf numFmtId="0" fontId="5" fillId="0" borderId="49" xfId="0" applyFont="1" applyBorder="1" applyAlignment="1">
      <alignment horizontal="center" vertical="center" shrinkToFit="1"/>
    </xf>
    <xf numFmtId="0" fontId="4" fillId="0" borderId="27" xfId="0" applyFont="1" applyBorder="1" applyAlignment="1">
      <alignment horizontal="center" vertical="center"/>
    </xf>
    <xf numFmtId="0" fontId="4" fillId="0" borderId="38" xfId="0" applyFont="1" applyBorder="1" applyAlignment="1">
      <alignment horizontal="center" vertical="center"/>
    </xf>
    <xf numFmtId="176" fontId="7" fillId="0" borderId="44" xfId="0" applyNumberFormat="1" applyFont="1" applyBorder="1" applyAlignment="1">
      <alignment vertical="center"/>
    </xf>
    <xf numFmtId="176" fontId="7" fillId="0" borderId="35" xfId="0" applyNumberFormat="1" applyFont="1" applyBorder="1" applyAlignment="1">
      <alignment vertical="center"/>
    </xf>
    <xf numFmtId="0" fontId="4" fillId="0" borderId="26" xfId="0" applyFont="1" applyBorder="1" applyAlignment="1">
      <alignment horizontal="center" vertical="center"/>
    </xf>
    <xf numFmtId="0" fontId="4" fillId="0" borderId="32" xfId="0" applyFont="1" applyBorder="1" applyAlignment="1">
      <alignment horizontal="center" vertical="center"/>
    </xf>
    <xf numFmtId="0" fontId="4" fillId="0" borderId="39" xfId="0" applyFont="1" applyBorder="1" applyAlignment="1">
      <alignment horizontal="center" vertical="center"/>
    </xf>
    <xf numFmtId="0" fontId="5" fillId="0" borderId="42" xfId="0" applyFont="1" applyBorder="1" applyAlignment="1">
      <alignment horizontal="center" vertical="center" wrapText="1" shrinkToFit="1"/>
    </xf>
    <xf numFmtId="0" fontId="5" fillId="0" borderId="38" xfId="0" applyFont="1" applyBorder="1" applyAlignment="1">
      <alignment horizontal="center" vertical="center" shrinkToFit="1"/>
    </xf>
    <xf numFmtId="0" fontId="5" fillId="0" borderId="43" xfId="0" applyFont="1" applyBorder="1" applyAlignment="1">
      <alignment horizontal="center" vertical="center" shrinkToFit="1"/>
    </xf>
    <xf numFmtId="0" fontId="5" fillId="0" borderId="26" xfId="0" applyFont="1" applyBorder="1" applyAlignment="1">
      <alignment horizontal="center" vertical="center" wrapText="1" shrinkToFit="1"/>
    </xf>
    <xf numFmtId="0" fontId="5" fillId="0" borderId="32" xfId="0" applyFont="1" applyBorder="1" applyAlignment="1">
      <alignment horizontal="center" vertical="center" shrinkToFit="1"/>
    </xf>
    <xf numFmtId="0" fontId="4" fillId="0" borderId="26" xfId="0" applyFont="1" applyBorder="1" applyAlignment="1">
      <alignment vertical="center"/>
    </xf>
    <xf numFmtId="0" fontId="4" fillId="0" borderId="27" xfId="0" applyFont="1" applyBorder="1" applyAlignment="1">
      <alignment vertical="center"/>
    </xf>
    <xf numFmtId="0" fontId="4" fillId="0" borderId="28" xfId="0" applyFont="1" applyBorder="1" applyAlignment="1">
      <alignment vertical="center"/>
    </xf>
    <xf numFmtId="0" fontId="6" fillId="0" borderId="78" xfId="0" applyFont="1" applyBorder="1" applyAlignment="1">
      <alignment horizontal="center" vertical="center" wrapText="1" shrinkToFit="1"/>
    </xf>
    <xf numFmtId="0" fontId="6" fillId="0" borderId="78" xfId="0" applyFont="1" applyBorder="1" applyAlignment="1">
      <alignment horizontal="center" vertical="center" shrinkToFit="1"/>
    </xf>
    <xf numFmtId="0" fontId="6" fillId="0" borderId="79" xfId="0" applyFont="1" applyBorder="1" applyAlignment="1">
      <alignment horizontal="center" vertical="center" shrinkToFit="1"/>
    </xf>
    <xf numFmtId="0" fontId="6" fillId="0" borderId="82" xfId="0" applyFont="1" applyBorder="1" applyAlignment="1">
      <alignment horizontal="center" vertical="center" shrinkToFit="1"/>
    </xf>
    <xf numFmtId="0" fontId="6" fillId="0" borderId="83" xfId="0" applyFont="1" applyBorder="1" applyAlignment="1">
      <alignment horizontal="center" vertical="center" shrinkToFit="1"/>
    </xf>
    <xf numFmtId="176" fontId="7" fillId="0" borderId="78" xfId="0" applyNumberFormat="1" applyFont="1" applyBorder="1" applyAlignment="1">
      <alignment vertical="center"/>
    </xf>
    <xf numFmtId="176" fontId="7" fillId="0" borderId="79" xfId="0" applyNumberFormat="1" applyFont="1" applyBorder="1" applyAlignment="1">
      <alignment vertical="center"/>
    </xf>
    <xf numFmtId="176" fontId="7" fillId="0" borderId="86" xfId="0" applyNumberFormat="1" applyFont="1" applyBorder="1" applyAlignment="1">
      <alignment vertical="center"/>
    </xf>
    <xf numFmtId="176" fontId="7" fillId="0" borderId="87" xfId="0" applyNumberFormat="1" applyFont="1" applyBorder="1" applyAlignment="1">
      <alignment vertical="center"/>
    </xf>
    <xf numFmtId="0" fontId="5" fillId="0" borderId="77" xfId="0" applyFont="1" applyBorder="1" applyAlignment="1">
      <alignment horizontal="center" vertical="center" wrapText="1" shrinkToFit="1"/>
    </xf>
    <xf numFmtId="0" fontId="5" fillId="0" borderId="78" xfId="0" applyFont="1" applyBorder="1" applyAlignment="1">
      <alignment horizontal="center" vertical="center" shrinkToFit="1"/>
    </xf>
    <xf numFmtId="0" fontId="5" fillId="0" borderId="80" xfId="0" applyFont="1" applyBorder="1" applyAlignment="1">
      <alignment horizontal="center" vertical="center" shrinkToFit="1"/>
    </xf>
    <xf numFmtId="0" fontId="5" fillId="0" borderId="81" xfId="0" applyFont="1" applyBorder="1" applyAlignment="1">
      <alignment horizontal="center" vertical="center" shrinkToFit="1"/>
    </xf>
    <xf numFmtId="0" fontId="5" fillId="0" borderId="42" xfId="0" applyFont="1" applyBorder="1" applyAlignment="1">
      <alignment horizontal="center" vertical="center" textRotation="255" shrinkToFit="1"/>
    </xf>
    <xf numFmtId="0" fontId="5" fillId="0" borderId="43" xfId="0" applyFont="1" applyBorder="1" applyAlignment="1">
      <alignment horizontal="center" vertical="center" textRotation="255" shrinkToFit="1"/>
    </xf>
    <xf numFmtId="0" fontId="5" fillId="0" borderId="27" xfId="0" applyFont="1" applyBorder="1" applyAlignment="1">
      <alignment horizontal="center" vertical="center" textRotation="255" shrinkToFit="1"/>
    </xf>
    <xf numFmtId="0" fontId="5" fillId="0" borderId="33" xfId="0" applyFont="1" applyBorder="1" applyAlignment="1">
      <alignment horizontal="center" vertical="center" textRotation="255" shrinkToFit="1"/>
    </xf>
    <xf numFmtId="0" fontId="5" fillId="0" borderId="28" xfId="0" applyFont="1" applyBorder="1" applyAlignment="1">
      <alignment horizontal="center" vertical="center" textRotation="255" shrinkToFit="1"/>
    </xf>
    <xf numFmtId="0" fontId="5" fillId="0" borderId="34" xfId="0" applyFont="1" applyBorder="1" applyAlignment="1">
      <alignment horizontal="center" vertical="center" textRotation="255" shrinkToFit="1"/>
    </xf>
    <xf numFmtId="176" fontId="7" fillId="0" borderId="90" xfId="0" applyNumberFormat="1" applyFont="1" applyBorder="1" applyAlignment="1">
      <alignment vertical="center"/>
    </xf>
    <xf numFmtId="176" fontId="7" fillId="0" borderId="91" xfId="0" applyNumberFormat="1" applyFont="1" applyBorder="1" applyAlignment="1">
      <alignment vertical="center"/>
    </xf>
    <xf numFmtId="176" fontId="7" fillId="0" borderId="69" xfId="0" applyNumberFormat="1" applyFont="1" applyBorder="1" applyAlignment="1">
      <alignment vertical="center"/>
    </xf>
    <xf numFmtId="176" fontId="7" fillId="0" borderId="70" xfId="0" applyNumberFormat="1" applyFont="1" applyBorder="1" applyAlignment="1">
      <alignment vertical="center"/>
    </xf>
    <xf numFmtId="176" fontId="7" fillId="0" borderId="71" xfId="0" applyNumberFormat="1" applyFont="1" applyBorder="1" applyAlignment="1">
      <alignment vertical="center"/>
    </xf>
    <xf numFmtId="176" fontId="7" fillId="0" borderId="73" xfId="0" applyNumberFormat="1" applyFont="1" applyBorder="1" applyAlignment="1">
      <alignment vertical="center"/>
    </xf>
    <xf numFmtId="176" fontId="7" fillId="0" borderId="74" xfId="0" applyNumberFormat="1" applyFont="1" applyBorder="1" applyAlignment="1">
      <alignment vertical="center"/>
    </xf>
    <xf numFmtId="176" fontId="7" fillId="0" borderId="75" xfId="0" applyNumberFormat="1" applyFont="1" applyBorder="1" applyAlignment="1">
      <alignment vertical="center"/>
    </xf>
    <xf numFmtId="176" fontId="7" fillId="0" borderId="76" xfId="0" applyNumberFormat="1" applyFont="1" applyBorder="1" applyAlignment="1">
      <alignment vertical="center"/>
    </xf>
    <xf numFmtId="176" fontId="7" fillId="0" borderId="66" xfId="0" applyNumberFormat="1" applyFont="1" applyBorder="1" applyAlignment="1">
      <alignment vertical="center"/>
    </xf>
    <xf numFmtId="176" fontId="7" fillId="0" borderId="67" xfId="0" applyNumberFormat="1" applyFont="1" applyBorder="1" applyAlignment="1">
      <alignment vertical="center"/>
    </xf>
    <xf numFmtId="176" fontId="7" fillId="0" borderId="68" xfId="0" applyNumberFormat="1" applyFont="1" applyBorder="1" applyAlignment="1">
      <alignment vertical="center"/>
    </xf>
    <xf numFmtId="176" fontId="7" fillId="0" borderId="88" xfId="0" applyNumberFormat="1" applyFont="1" applyBorder="1" applyAlignment="1">
      <alignment vertical="center"/>
    </xf>
    <xf numFmtId="176" fontId="7" fillId="0" borderId="89" xfId="0" applyNumberFormat="1" applyFont="1" applyBorder="1" applyAlignment="1">
      <alignment vertical="center"/>
    </xf>
    <xf numFmtId="176" fontId="7" fillId="0" borderId="72" xfId="0" applyNumberFormat="1" applyFont="1" applyBorder="1" applyAlignment="1">
      <alignment vertical="center"/>
    </xf>
    <xf numFmtId="176" fontId="7" fillId="0" borderId="92" xfId="0" applyNumberFormat="1" applyFont="1" applyBorder="1" applyAlignment="1">
      <alignment vertical="center"/>
    </xf>
    <xf numFmtId="176" fontId="7" fillId="0" borderId="64" xfId="0" applyNumberFormat="1" applyFont="1" applyBorder="1" applyAlignment="1">
      <alignment vertical="center"/>
    </xf>
    <xf numFmtId="176" fontId="7" fillId="0" borderId="93" xfId="0" applyNumberFormat="1" applyFont="1" applyBorder="1" applyAlignment="1">
      <alignment vertical="center"/>
    </xf>
    <xf numFmtId="176" fontId="7" fillId="0" borderId="94" xfId="0" applyNumberFormat="1" applyFont="1" applyBorder="1" applyAlignment="1">
      <alignment vertical="center"/>
    </xf>
    <xf numFmtId="0" fontId="4" fillId="0" borderId="28" xfId="0" applyFont="1" applyBorder="1" applyAlignment="1">
      <alignment horizontal="center" vertical="center"/>
    </xf>
    <xf numFmtId="176" fontId="7" fillId="0" borderId="51" xfId="0" applyNumberFormat="1" applyFont="1" applyBorder="1" applyAlignment="1">
      <alignment vertical="center"/>
    </xf>
    <xf numFmtId="176" fontId="7" fillId="0" borderId="62" xfId="0" applyNumberFormat="1" applyFont="1" applyBorder="1" applyAlignment="1">
      <alignment vertical="center"/>
    </xf>
    <xf numFmtId="176" fontId="7" fillId="0" borderId="27" xfId="0" applyNumberFormat="1" applyFont="1" applyBorder="1" applyAlignment="1">
      <alignment vertical="center"/>
    </xf>
    <xf numFmtId="176" fontId="7" fillId="0" borderId="28" xfId="0" applyNumberFormat="1" applyFont="1" applyBorder="1" applyAlignment="1">
      <alignment vertical="center"/>
    </xf>
    <xf numFmtId="176" fontId="7" fillId="0" borderId="63" xfId="0" applyNumberFormat="1" applyFont="1" applyBorder="1" applyAlignment="1">
      <alignment vertical="center"/>
    </xf>
    <xf numFmtId="176" fontId="7" fillId="0" borderId="55" xfId="0" applyNumberFormat="1" applyFont="1" applyBorder="1" applyAlignment="1">
      <alignment vertical="center"/>
    </xf>
    <xf numFmtId="176" fontId="7" fillId="0" borderId="52" xfId="0" applyNumberFormat="1" applyFont="1" applyBorder="1" applyAlignment="1">
      <alignment vertical="center"/>
    </xf>
    <xf numFmtId="176" fontId="7" fillId="0" borderId="57" xfId="0" applyNumberFormat="1" applyFont="1" applyBorder="1" applyAlignment="1">
      <alignment vertical="center"/>
    </xf>
    <xf numFmtId="176" fontId="7" fillId="0" borderId="47" xfId="0" applyNumberFormat="1" applyFont="1" applyBorder="1" applyAlignment="1">
      <alignment vertical="center"/>
    </xf>
    <xf numFmtId="176" fontId="2" fillId="0" borderId="142" xfId="0" applyNumberFormat="1" applyFont="1" applyBorder="1" applyAlignment="1">
      <alignment vertical="center"/>
    </xf>
    <xf numFmtId="176" fontId="2" fillId="0" borderId="110" xfId="0" applyNumberFormat="1" applyFont="1" applyBorder="1" applyAlignment="1">
      <alignment vertical="center"/>
    </xf>
    <xf numFmtId="176" fontId="2" fillId="0" borderId="163" xfId="0" applyNumberFormat="1" applyFont="1" applyBorder="1" applyAlignment="1">
      <alignment vertical="center"/>
    </xf>
    <xf numFmtId="176" fontId="2" fillId="0" borderId="14" xfId="0" applyNumberFormat="1" applyFont="1" applyBorder="1" applyAlignment="1">
      <alignment vertical="center"/>
    </xf>
    <xf numFmtId="176" fontId="2" fillId="0" borderId="143" xfId="0" applyNumberFormat="1" applyFont="1" applyBorder="1" applyAlignment="1">
      <alignment vertical="center"/>
    </xf>
    <xf numFmtId="177" fontId="2" fillId="0" borderId="106" xfId="0" applyNumberFormat="1" applyFont="1" applyBorder="1" applyAlignment="1">
      <alignment vertical="center"/>
    </xf>
    <xf numFmtId="177" fontId="2" fillId="0" borderId="13" xfId="0" applyNumberFormat="1" applyFont="1" applyBorder="1" applyAlignment="1">
      <alignment vertical="center"/>
    </xf>
    <xf numFmtId="177" fontId="2" fillId="0" borderId="184" xfId="0" applyNumberFormat="1" applyFont="1" applyBorder="1" applyAlignment="1">
      <alignment vertical="center"/>
    </xf>
    <xf numFmtId="0" fontId="4" fillId="0" borderId="165" xfId="0" applyFont="1" applyBorder="1" applyAlignment="1">
      <alignment horizontal="center" vertical="center"/>
    </xf>
    <xf numFmtId="177" fontId="2" fillId="0" borderId="106" xfId="0" applyNumberFormat="1" applyFont="1" applyBorder="1" applyAlignment="1">
      <alignment vertical="center" shrinkToFit="1"/>
    </xf>
    <xf numFmtId="177" fontId="2" fillId="0" borderId="107" xfId="0" applyNumberFormat="1" applyFont="1" applyBorder="1" applyAlignment="1">
      <alignment vertical="center" shrinkToFit="1"/>
    </xf>
    <xf numFmtId="177" fontId="2" fillId="0" borderId="117" xfId="0" applyNumberFormat="1" applyFont="1" applyBorder="1" applyAlignment="1">
      <alignment vertical="center" shrinkToFit="1"/>
    </xf>
    <xf numFmtId="177" fontId="2" fillId="0" borderId="103" xfId="0" applyNumberFormat="1" applyFont="1" applyBorder="1" applyAlignment="1">
      <alignment vertical="center" shrinkToFit="1"/>
    </xf>
    <xf numFmtId="177" fontId="2" fillId="0" borderId="104" xfId="0" applyNumberFormat="1" applyFont="1" applyBorder="1" applyAlignment="1">
      <alignment vertical="center" shrinkToFit="1"/>
    </xf>
    <xf numFmtId="177" fontId="2" fillId="0" borderId="116" xfId="0" applyNumberFormat="1" applyFont="1" applyBorder="1" applyAlignment="1">
      <alignment vertical="center" shrinkToFit="1"/>
    </xf>
    <xf numFmtId="178" fontId="2" fillId="0" borderId="136" xfId="0" applyNumberFormat="1" applyFont="1" applyBorder="1" applyAlignment="1">
      <alignment vertical="center" shrinkToFit="1"/>
    </xf>
    <xf numFmtId="178" fontId="2" fillId="0" borderId="124" xfId="0" applyNumberFormat="1" applyFont="1" applyBorder="1" applyAlignment="1">
      <alignment vertical="center" shrinkToFit="1"/>
    </xf>
    <xf numFmtId="178" fontId="2" fillId="0" borderId="125" xfId="0" applyNumberFormat="1" applyFont="1" applyBorder="1" applyAlignment="1">
      <alignment vertical="center" shrinkToFit="1"/>
    </xf>
    <xf numFmtId="177" fontId="2" fillId="0" borderId="108" xfId="0" applyNumberFormat="1" applyFont="1" applyBorder="1" applyAlignment="1">
      <alignment vertical="center" shrinkToFit="1"/>
    </xf>
    <xf numFmtId="177" fontId="2" fillId="0" borderId="105" xfId="0" applyNumberFormat="1" applyFont="1" applyBorder="1" applyAlignment="1">
      <alignment vertical="center" shrinkToFit="1"/>
    </xf>
    <xf numFmtId="178" fontId="2" fillId="0" borderId="187" xfId="0" applyNumberFormat="1" applyFont="1" applyBorder="1" applyAlignment="1">
      <alignment vertical="center" shrinkToFit="1"/>
    </xf>
    <xf numFmtId="176" fontId="4" fillId="0" borderId="188" xfId="0" applyNumberFormat="1" applyFont="1" applyBorder="1" applyAlignment="1">
      <alignment horizontal="center" vertical="center"/>
    </xf>
    <xf numFmtId="176" fontId="4" fillId="0" borderId="124" xfId="0" applyNumberFormat="1" applyFont="1" applyBorder="1" applyAlignment="1">
      <alignment horizontal="center" vertical="center"/>
    </xf>
    <xf numFmtId="176" fontId="4" fillId="0" borderId="187" xfId="0" applyNumberFormat="1" applyFont="1" applyBorder="1" applyAlignment="1">
      <alignment horizontal="center" vertical="center"/>
    </xf>
    <xf numFmtId="176" fontId="2" fillId="0" borderId="165" xfId="0" applyNumberFormat="1" applyFont="1" applyBorder="1" applyAlignment="1">
      <alignment horizontal="center" vertical="center"/>
    </xf>
    <xf numFmtId="176" fontId="2" fillId="0" borderId="16" xfId="0" applyNumberFormat="1" applyFont="1" applyBorder="1" applyAlignment="1">
      <alignment horizontal="center" vertical="center"/>
    </xf>
    <xf numFmtId="176" fontId="2" fillId="0" borderId="120" xfId="0" applyNumberFormat="1" applyFont="1" applyBorder="1" applyAlignment="1">
      <alignment horizontal="center" vertical="center"/>
    </xf>
    <xf numFmtId="176" fontId="2" fillId="0" borderId="131" xfId="0" applyNumberFormat="1" applyFont="1" applyBorder="1" applyAlignment="1">
      <alignment vertical="center"/>
    </xf>
    <xf numFmtId="176" fontId="2" fillId="0" borderId="166" xfId="0" applyNumberFormat="1" applyFont="1" applyBorder="1" applyAlignment="1">
      <alignment vertical="center"/>
    </xf>
    <xf numFmtId="0" fontId="4" fillId="0" borderId="142" xfId="0" applyFont="1" applyBorder="1" applyAlignment="1">
      <alignment horizontal="center" vertical="center"/>
    </xf>
    <xf numFmtId="0" fontId="4" fillId="0" borderId="110" xfId="0" applyFont="1" applyBorder="1" applyAlignment="1">
      <alignment horizontal="center" vertical="center"/>
    </xf>
    <xf numFmtId="0" fontId="4" fillId="0" borderId="143" xfId="0" applyFont="1" applyBorder="1" applyAlignment="1">
      <alignment horizontal="center" vertical="center"/>
    </xf>
    <xf numFmtId="0" fontId="4" fillId="0" borderId="194" xfId="0" applyFont="1" applyBorder="1" applyAlignment="1">
      <alignment horizontal="center" vertical="center"/>
    </xf>
    <xf numFmtId="0" fontId="4" fillId="0" borderId="195" xfId="0" applyFont="1" applyBorder="1" applyAlignment="1">
      <alignment horizontal="center" vertical="center"/>
    </xf>
    <xf numFmtId="0" fontId="4" fillId="0" borderId="196"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61" xfId="0" applyFont="1" applyBorder="1" applyAlignment="1">
      <alignment horizontal="center" vertical="center"/>
    </xf>
    <xf numFmtId="176" fontId="2" fillId="0" borderId="111" xfId="0" applyNumberFormat="1" applyFont="1" applyBorder="1" applyAlignment="1">
      <alignment vertical="center"/>
    </xf>
    <xf numFmtId="176" fontId="2" fillId="0" borderId="112" xfId="0" applyNumberFormat="1" applyFont="1" applyBorder="1" applyAlignment="1">
      <alignment vertical="center"/>
    </xf>
    <xf numFmtId="176" fontId="2" fillId="0" borderId="123" xfId="0" applyNumberFormat="1" applyFont="1" applyBorder="1" applyAlignment="1">
      <alignment vertical="center"/>
    </xf>
    <xf numFmtId="176" fontId="2" fillId="0" borderId="113" xfId="0" applyNumberFormat="1" applyFont="1" applyBorder="1" applyAlignment="1">
      <alignment vertical="center"/>
    </xf>
    <xf numFmtId="176" fontId="2" fillId="0" borderId="122" xfId="0" applyNumberFormat="1" applyFont="1" applyBorder="1" applyAlignment="1">
      <alignment vertical="center"/>
    </xf>
    <xf numFmtId="176" fontId="2" fillId="0" borderId="194" xfId="0" applyNumberFormat="1" applyFont="1" applyBorder="1" applyAlignment="1">
      <alignment vertical="center"/>
    </xf>
    <xf numFmtId="176" fontId="2" fillId="0" borderId="195" xfId="0" applyNumberFormat="1" applyFont="1" applyBorder="1" applyAlignment="1">
      <alignment vertical="center"/>
    </xf>
    <xf numFmtId="176" fontId="2" fillId="0" borderId="198" xfId="0" applyNumberFormat="1" applyFont="1" applyBorder="1" applyAlignment="1">
      <alignment vertical="center"/>
    </xf>
    <xf numFmtId="176" fontId="2" fillId="0" borderId="197" xfId="0" applyNumberFormat="1" applyFont="1" applyBorder="1" applyAlignment="1">
      <alignment vertical="center"/>
    </xf>
    <xf numFmtId="176" fontId="2" fillId="0" borderId="196" xfId="0" applyNumberFormat="1" applyFont="1" applyBorder="1" applyAlignment="1">
      <alignment vertical="center"/>
    </xf>
    <xf numFmtId="0" fontId="6" fillId="0" borderId="165" xfId="0" applyFont="1" applyBorder="1" applyAlignment="1">
      <alignment horizontal="center" vertical="center"/>
    </xf>
    <xf numFmtId="0" fontId="6" fillId="0" borderId="16" xfId="0" applyFont="1" applyBorder="1" applyAlignment="1">
      <alignment horizontal="center" vertical="center"/>
    </xf>
    <xf numFmtId="0" fontId="6" fillId="0" borderId="120" xfId="0" applyFont="1" applyBorder="1" applyAlignment="1">
      <alignment horizontal="center" vertical="center"/>
    </xf>
    <xf numFmtId="0" fontId="6" fillId="0" borderId="14" xfId="0" applyFont="1" applyBorder="1" applyAlignment="1">
      <alignment horizontal="center" vertical="center"/>
    </xf>
    <xf numFmtId="0" fontId="6" fillId="0" borderId="110" xfId="0" applyFont="1" applyBorder="1" applyAlignment="1">
      <alignment horizontal="center" vertical="center"/>
    </xf>
    <xf numFmtId="0" fontId="6" fillId="0" borderId="163" xfId="0" applyFont="1" applyBorder="1" applyAlignment="1">
      <alignment horizontal="center" vertical="center"/>
    </xf>
    <xf numFmtId="177" fontId="2" fillId="0" borderId="24" xfId="0" applyNumberFormat="1" applyFont="1" applyBorder="1" applyAlignment="1">
      <alignment vertical="center"/>
    </xf>
    <xf numFmtId="0" fontId="17" fillId="0" borderId="0" xfId="0" applyFont="1" applyAlignment="1">
      <alignment horizontal="center" vertical="center" wrapText="1"/>
    </xf>
    <xf numFmtId="0" fontId="17" fillId="0" borderId="173" xfId="0" applyFont="1" applyBorder="1" applyAlignment="1">
      <alignment horizontal="center" vertical="center" wrapText="1"/>
    </xf>
    <xf numFmtId="0" fontId="4" fillId="0" borderId="0" xfId="0" applyFont="1">
      <alignment vertical="center"/>
    </xf>
    <xf numFmtId="0" fontId="4" fillId="0" borderId="171" xfId="0" applyFont="1" applyBorder="1">
      <alignment vertical="center"/>
    </xf>
    <xf numFmtId="0" fontId="4" fillId="0" borderId="0" xfId="0" applyFont="1" applyBorder="1">
      <alignment vertical="center"/>
    </xf>
    <xf numFmtId="0" fontId="4" fillId="0" borderId="0" xfId="0" applyFont="1" applyAlignment="1">
      <alignment vertical="center" wrapText="1"/>
    </xf>
    <xf numFmtId="0" fontId="4" fillId="0" borderId="0" xfId="0" applyFont="1" applyBorder="1" applyAlignment="1">
      <alignment vertical="top"/>
    </xf>
    <xf numFmtId="0" fontId="4" fillId="0" borderId="171" xfId="0" applyFont="1" applyBorder="1" applyAlignment="1">
      <alignment vertical="top"/>
    </xf>
    <xf numFmtId="0" fontId="4" fillId="0" borderId="173" xfId="0" applyFont="1" applyBorder="1" applyAlignment="1">
      <alignment vertical="top"/>
    </xf>
    <xf numFmtId="0" fontId="4" fillId="0" borderId="174" xfId="0" applyFont="1" applyBorder="1" applyAlignment="1">
      <alignment vertical="top"/>
    </xf>
    <xf numFmtId="0" fontId="4" fillId="0" borderId="0" xfId="0" applyFont="1" applyBorder="1" applyAlignment="1">
      <alignment vertical="center"/>
    </xf>
    <xf numFmtId="0" fontId="16" fillId="0" borderId="0" xfId="0" applyFont="1" applyBorder="1" applyAlignment="1">
      <alignment vertical="center" wrapText="1"/>
    </xf>
    <xf numFmtId="49" fontId="19" fillId="0" borderId="19" xfId="0" applyNumberFormat="1" applyFont="1" applyBorder="1" applyAlignment="1">
      <alignment vertical="center" shrinkToFit="1"/>
    </xf>
    <xf numFmtId="49" fontId="19" fillId="0" borderId="0" xfId="0" applyNumberFormat="1" applyFont="1" applyBorder="1" applyAlignment="1">
      <alignment vertical="center" shrinkToFit="1"/>
    </xf>
    <xf numFmtId="177" fontId="8" fillId="2" borderId="19" xfId="0" applyNumberFormat="1" applyFont="1" applyFill="1" applyBorder="1" applyAlignment="1">
      <alignment vertical="center"/>
    </xf>
    <xf numFmtId="177" fontId="8" fillId="2" borderId="20" xfId="0" applyNumberFormat="1" applyFont="1" applyFill="1" applyBorder="1" applyAlignment="1">
      <alignment vertical="center"/>
    </xf>
    <xf numFmtId="177" fontId="8" fillId="2" borderId="0" xfId="0" applyNumberFormat="1" applyFont="1" applyFill="1" applyBorder="1" applyAlignment="1">
      <alignment vertical="center"/>
    </xf>
    <xf numFmtId="177" fontId="8" fillId="2" borderId="22" xfId="0" applyNumberFormat="1" applyFont="1" applyFill="1" applyBorder="1" applyAlignment="1">
      <alignment vertical="center"/>
    </xf>
    <xf numFmtId="182" fontId="8" fillId="2" borderId="21" xfId="0" applyNumberFormat="1" applyFont="1" applyFill="1" applyBorder="1" applyAlignment="1">
      <alignment vertical="center"/>
    </xf>
    <xf numFmtId="182" fontId="8" fillId="2" borderId="0" xfId="0" applyNumberFormat="1" applyFont="1" applyFill="1" applyBorder="1" applyAlignment="1">
      <alignment vertical="center"/>
    </xf>
    <xf numFmtId="182" fontId="8" fillId="2" borderId="23" xfId="0" applyNumberFormat="1" applyFont="1" applyFill="1" applyBorder="1" applyAlignment="1">
      <alignment vertical="center"/>
    </xf>
    <xf numFmtId="182" fontId="8" fillId="2" borderId="24" xfId="0" applyNumberFormat="1" applyFont="1" applyFill="1" applyBorder="1" applyAlignment="1">
      <alignment vertical="center"/>
    </xf>
    <xf numFmtId="182" fontId="8" fillId="2" borderId="22" xfId="0" applyNumberFormat="1" applyFont="1" applyFill="1" applyBorder="1" applyAlignment="1">
      <alignment vertical="center"/>
    </xf>
    <xf numFmtId="182" fontId="8" fillId="2" borderId="24" xfId="0" applyNumberFormat="1" applyFont="1" applyFill="1" applyBorder="1" applyAlignment="1">
      <alignment vertical="center" shrinkToFit="1"/>
    </xf>
    <xf numFmtId="182" fontId="8" fillId="2" borderId="25" xfId="0" applyNumberFormat="1" applyFont="1" applyFill="1" applyBorder="1" applyAlignment="1">
      <alignment vertical="center" shrinkToFit="1"/>
    </xf>
    <xf numFmtId="49" fontId="19" fillId="0" borderId="24" xfId="0" applyNumberFormat="1" applyFont="1" applyBorder="1" applyAlignment="1">
      <alignment vertical="center" shrinkToFit="1"/>
    </xf>
    <xf numFmtId="177" fontId="8" fillId="2" borderId="24" xfId="0" applyNumberFormat="1" applyFont="1" applyFill="1" applyBorder="1" applyAlignment="1">
      <alignment vertical="center"/>
    </xf>
    <xf numFmtId="177" fontId="8" fillId="2" borderId="25" xfId="0" applyNumberFormat="1" applyFont="1" applyFill="1" applyBorder="1" applyAlignment="1">
      <alignment vertical="center"/>
    </xf>
    <xf numFmtId="182" fontId="8" fillId="2" borderId="18" xfId="0" applyNumberFormat="1" applyFont="1" applyFill="1" applyBorder="1" applyAlignment="1">
      <alignment vertical="center"/>
    </xf>
    <xf numFmtId="182" fontId="8" fillId="2" borderId="19" xfId="0" applyNumberFormat="1" applyFont="1" applyFill="1" applyBorder="1" applyAlignment="1">
      <alignment vertical="center"/>
    </xf>
    <xf numFmtId="182" fontId="8" fillId="2" borderId="20" xfId="0" applyNumberFormat="1" applyFont="1" applyFill="1" applyBorder="1" applyAlignment="1">
      <alignment vertical="center"/>
    </xf>
    <xf numFmtId="0" fontId="24" fillId="0" borderId="0" xfId="1" applyAlignment="1">
      <alignment horizontal="center"/>
    </xf>
    <xf numFmtId="0" fontId="27" fillId="0" borderId="111" xfId="1" applyFont="1" applyBorder="1" applyAlignment="1">
      <alignment horizontal="center" vertical="center" justifyLastLine="1"/>
    </xf>
    <xf numFmtId="0" fontId="27" fillId="0" borderId="112" xfId="1" applyFont="1" applyBorder="1" applyAlignment="1">
      <alignment horizontal="center" vertical="center" justifyLastLine="1"/>
    </xf>
    <xf numFmtId="38" fontId="29" fillId="0" borderId="112" xfId="2" applyFont="1" applyBorder="1" applyAlignment="1" applyProtection="1">
      <alignment horizontal="left" vertical="center" shrinkToFit="1"/>
    </xf>
    <xf numFmtId="38" fontId="33" fillId="6" borderId="192" xfId="2" applyFont="1" applyFill="1" applyBorder="1" applyAlignment="1" applyProtection="1">
      <alignment horizontal="center" vertical="center"/>
      <protection locked="0"/>
    </xf>
    <xf numFmtId="38" fontId="33" fillId="6" borderId="199" xfId="2" applyFont="1" applyFill="1" applyBorder="1" applyAlignment="1" applyProtection="1">
      <alignment horizontal="center" vertical="center"/>
      <protection locked="0"/>
    </xf>
    <xf numFmtId="0" fontId="34" fillId="0" borderId="11" xfId="1" applyFont="1" applyBorder="1" applyAlignment="1">
      <alignment horizontal="center" vertical="center" wrapText="1"/>
    </xf>
    <xf numFmtId="0" fontId="34" fillId="0" borderId="12" xfId="1" applyFont="1" applyBorder="1" applyAlignment="1">
      <alignment horizontal="center" vertical="center" wrapText="1"/>
    </xf>
    <xf numFmtId="38" fontId="33" fillId="5" borderId="12" xfId="2" applyFont="1" applyFill="1" applyBorder="1" applyAlignment="1" applyProtection="1">
      <alignment horizontal="center" vertical="center"/>
      <protection locked="0"/>
    </xf>
    <xf numFmtId="0" fontId="33" fillId="0" borderId="10" xfId="1" applyFont="1" applyBorder="1" applyAlignment="1">
      <alignment horizontal="distributed" vertical="center" justifyLastLine="1"/>
    </xf>
    <xf numFmtId="38" fontId="33" fillId="6" borderId="201" xfId="2" applyFont="1" applyFill="1" applyBorder="1" applyAlignment="1" applyProtection="1">
      <alignment horizontal="right" vertical="center" shrinkToFit="1"/>
      <protection locked="0"/>
    </xf>
    <xf numFmtId="38" fontId="33" fillId="6" borderId="202" xfId="2" applyFont="1" applyFill="1" applyBorder="1" applyAlignment="1" applyProtection="1">
      <alignment horizontal="right" vertical="center" shrinkToFit="1"/>
      <protection locked="0"/>
    </xf>
    <xf numFmtId="0" fontId="25" fillId="0" borderId="0" xfId="1" applyFont="1" applyAlignment="1">
      <alignment horizontal="center" vertical="center"/>
    </xf>
    <xf numFmtId="38" fontId="25" fillId="0" borderId="0" xfId="2" applyFont="1" applyAlignment="1" applyProtection="1">
      <alignment horizontal="right" vertical="center"/>
    </xf>
    <xf numFmtId="0" fontId="35" fillId="0" borderId="5" xfId="1" applyFont="1" applyBorder="1" applyAlignment="1">
      <alignment horizontal="distributed" vertical="center" justifyLastLine="1"/>
    </xf>
    <xf numFmtId="38" fontId="35" fillId="0" borderId="14" xfId="2" applyFont="1" applyFill="1" applyBorder="1" applyAlignment="1" applyProtection="1">
      <alignment vertical="center" shrinkToFit="1"/>
    </xf>
    <xf numFmtId="38" fontId="35" fillId="0" borderId="163" xfId="2" applyFont="1" applyFill="1" applyBorder="1" applyAlignment="1" applyProtection="1">
      <alignment vertical="center" shrinkToFit="1"/>
    </xf>
    <xf numFmtId="0" fontId="36" fillId="0" borderId="185" xfId="1" applyFont="1" applyBorder="1" applyAlignment="1">
      <alignment horizontal="left" vertical="center" wrapText="1"/>
    </xf>
    <xf numFmtId="0" fontId="36" fillId="0" borderId="0" xfId="1" applyFont="1" applyAlignment="1">
      <alignment horizontal="left" vertical="center" wrapText="1"/>
    </xf>
    <xf numFmtId="0" fontId="33" fillId="0" borderId="5" xfId="1" applyFont="1" applyBorder="1" applyAlignment="1">
      <alignment horizontal="distributed" vertical="center" justifyLastLine="1"/>
    </xf>
    <xf numFmtId="38" fontId="33" fillId="6" borderId="14" xfId="2" applyFont="1" applyFill="1" applyBorder="1" applyAlignment="1" applyProtection="1">
      <alignment horizontal="right" vertical="center" shrinkToFit="1"/>
      <protection locked="0"/>
    </xf>
    <xf numFmtId="38" fontId="33" fillId="6" borderId="163" xfId="2" applyFont="1" applyFill="1" applyBorder="1" applyAlignment="1" applyProtection="1">
      <alignment horizontal="right" vertical="center" shrinkToFit="1"/>
      <protection locked="0"/>
    </xf>
    <xf numFmtId="38" fontId="35" fillId="0" borderId="14" xfId="2" applyFont="1" applyBorder="1" applyAlignment="1" applyProtection="1">
      <alignment vertical="center"/>
    </xf>
    <xf numFmtId="38" fontId="35" fillId="0" borderId="163" xfId="2" applyFont="1" applyBorder="1" applyAlignment="1" applyProtection="1">
      <alignment vertical="center"/>
    </xf>
    <xf numFmtId="0" fontId="36" fillId="0" borderId="185" xfId="1" applyFont="1" applyBorder="1" applyAlignment="1">
      <alignment horizontal="left" vertical="center"/>
    </xf>
    <xf numFmtId="0" fontId="36" fillId="0" borderId="0" xfId="1" applyFont="1" applyAlignment="1">
      <alignment horizontal="left" vertical="center"/>
    </xf>
    <xf numFmtId="38" fontId="35" fillId="0" borderId="14" xfId="2" applyFont="1" applyBorder="1" applyAlignment="1" applyProtection="1">
      <alignment horizontal="right" vertical="center"/>
    </xf>
    <xf numFmtId="38" fontId="35" fillId="0" borderId="163" xfId="2" applyFont="1" applyBorder="1" applyAlignment="1" applyProtection="1">
      <alignment horizontal="right" vertical="center"/>
    </xf>
    <xf numFmtId="38" fontId="33" fillId="0" borderId="126" xfId="2" applyFont="1" applyBorder="1" applyAlignment="1" applyProtection="1">
      <alignment horizontal="center" vertical="center"/>
    </xf>
    <xf numFmtId="38" fontId="33" fillId="0" borderId="0" xfId="2" applyFont="1" applyBorder="1" applyAlignment="1" applyProtection="1">
      <alignment horizontal="center" vertical="center"/>
    </xf>
    <xf numFmtId="38" fontId="45" fillId="0" borderId="5" xfId="2" applyFont="1" applyBorder="1" applyAlignment="1" applyProtection="1">
      <alignment horizontal="center" vertical="center"/>
    </xf>
    <xf numFmtId="38" fontId="45" fillId="5" borderId="5" xfId="2" applyFont="1" applyFill="1" applyBorder="1" applyAlignment="1" applyProtection="1">
      <alignment horizontal="center" vertical="center"/>
    </xf>
    <xf numFmtId="38" fontId="33" fillId="0" borderId="14" xfId="2" applyFont="1" applyBorder="1" applyAlignment="1" applyProtection="1">
      <alignment horizontal="right" vertical="center"/>
    </xf>
    <xf numFmtId="38" fontId="33" fillId="0" borderId="163" xfId="2" applyFont="1" applyBorder="1" applyAlignment="1" applyProtection="1">
      <alignment horizontal="right" vertical="center"/>
    </xf>
    <xf numFmtId="38" fontId="25" fillId="0" borderId="5" xfId="2" applyFont="1" applyBorder="1" applyAlignment="1" applyProtection="1">
      <alignment horizontal="right" vertical="center"/>
    </xf>
    <xf numFmtId="38" fontId="33" fillId="0" borderId="203" xfId="2" applyFont="1" applyBorder="1" applyAlignment="1" applyProtection="1">
      <alignment horizontal="center" vertical="center"/>
    </xf>
    <xf numFmtId="38" fontId="38" fillId="0" borderId="5" xfId="2" applyFont="1" applyBorder="1" applyAlignment="1" applyProtection="1">
      <alignment horizontal="center" vertical="center" wrapText="1"/>
    </xf>
    <xf numFmtId="0" fontId="44" fillId="0" borderId="5" xfId="1" applyFont="1" applyBorder="1" applyAlignment="1">
      <alignment horizontal="center" vertical="center" wrapText="1"/>
    </xf>
    <xf numFmtId="0" fontId="33" fillId="0" borderId="14" xfId="1" applyFont="1" applyBorder="1" applyAlignment="1">
      <alignment horizontal="distributed" vertical="center" justifyLastLine="1"/>
    </xf>
    <xf numFmtId="0" fontId="33" fillId="0" borderId="205" xfId="1" applyFont="1" applyBorder="1" applyAlignment="1">
      <alignment vertical="center"/>
    </xf>
    <xf numFmtId="0" fontId="33" fillId="0" borderId="0" xfId="1" applyFont="1" applyAlignment="1">
      <alignment vertical="center"/>
    </xf>
    <xf numFmtId="38" fontId="40" fillId="0" borderId="0" xfId="2" applyFont="1" applyBorder="1" applyAlignment="1" applyProtection="1">
      <alignment horizontal="right" vertical="center"/>
    </xf>
    <xf numFmtId="0" fontId="33" fillId="0" borderId="0" xfId="1" applyFont="1" applyAlignment="1">
      <alignment horizontal="center" vertical="center"/>
    </xf>
    <xf numFmtId="0" fontId="33" fillId="0" borderId="207" xfId="1" applyFont="1" applyBorder="1" applyAlignment="1">
      <alignment vertical="center"/>
    </xf>
    <xf numFmtId="0" fontId="33" fillId="0" borderId="126" xfId="1" applyFont="1" applyBorder="1" applyAlignment="1">
      <alignment vertical="center"/>
    </xf>
    <xf numFmtId="0" fontId="33" fillId="0" borderId="203" xfId="1" applyFont="1" applyBorder="1" applyAlignment="1">
      <alignment horizontal="left" vertical="center"/>
    </xf>
    <xf numFmtId="38" fontId="25" fillId="0" borderId="14" xfId="2" applyFont="1" applyBorder="1" applyAlignment="1" applyProtection="1">
      <alignment horizontal="center" vertical="center"/>
    </xf>
    <xf numFmtId="38" fontId="25" fillId="0" borderId="163" xfId="2" applyFont="1" applyBorder="1" applyAlignment="1" applyProtection="1">
      <alignment horizontal="center" vertical="center"/>
    </xf>
    <xf numFmtId="0" fontId="25" fillId="0" borderId="14" xfId="1" applyFont="1" applyBorder="1" applyAlignment="1">
      <alignment horizontal="center" vertical="center"/>
    </xf>
    <xf numFmtId="0" fontId="25" fillId="0" borderId="163" xfId="1" applyFont="1" applyBorder="1" applyAlignment="1">
      <alignment horizontal="center" vertical="center"/>
    </xf>
    <xf numFmtId="0" fontId="33" fillId="0" borderId="14" xfId="1" applyFont="1" applyBorder="1" applyAlignment="1">
      <alignment horizontal="center" vertical="center" shrinkToFit="1"/>
    </xf>
    <xf numFmtId="0" fontId="33" fillId="0" borderId="206" xfId="1" applyFont="1" applyBorder="1" applyAlignment="1">
      <alignment horizontal="center" vertical="center" shrinkToFit="1"/>
    </xf>
    <xf numFmtId="0" fontId="25" fillId="0" borderId="147" xfId="1" applyFont="1" applyBorder="1" applyAlignment="1">
      <alignment horizontal="center" vertical="center"/>
    </xf>
    <xf numFmtId="0" fontId="25" fillId="0" borderId="10" xfId="1" applyFont="1" applyBorder="1" applyAlignment="1">
      <alignment horizontal="center" vertical="center"/>
    </xf>
    <xf numFmtId="0" fontId="30" fillId="0" borderId="5" xfId="1" applyFont="1" applyBorder="1" applyAlignment="1">
      <alignment horizontal="center" vertical="center" shrinkToFit="1"/>
    </xf>
    <xf numFmtId="0" fontId="30" fillId="0" borderId="14" xfId="1" applyFont="1" applyBorder="1" applyAlignment="1">
      <alignment horizontal="center" vertical="center" shrinkToFit="1"/>
    </xf>
    <xf numFmtId="0" fontId="41" fillId="0" borderId="203" xfId="1" applyFont="1" applyBorder="1" applyAlignment="1">
      <alignment horizontal="center" vertical="center" shrinkToFit="1"/>
    </xf>
    <xf numFmtId="0" fontId="54" fillId="0" borderId="5" xfId="1" applyFont="1" applyBorder="1" applyAlignment="1">
      <alignment horizontal="distributed" vertical="center" justifyLastLine="1"/>
    </xf>
    <xf numFmtId="0" fontId="54" fillId="0" borderId="14" xfId="1" applyFont="1" applyBorder="1" applyAlignment="1">
      <alignment horizontal="distributed" vertical="center" justifyLastLine="1"/>
    </xf>
    <xf numFmtId="0" fontId="24" fillId="0" borderId="0" xfId="1" applyAlignment="1">
      <alignment horizontal="distributed" justifyLastLine="1"/>
    </xf>
    <xf numFmtId="0" fontId="33" fillId="0" borderId="203" xfId="1" applyFont="1" applyBorder="1" applyAlignment="1">
      <alignment horizontal="center" vertical="center"/>
    </xf>
    <xf numFmtId="0" fontId="59" fillId="0" borderId="0" xfId="1" applyFont="1" applyAlignment="1">
      <alignment horizontal="center" vertical="center"/>
    </xf>
    <xf numFmtId="185" fontId="62" fillId="0" borderId="212" xfId="1" applyNumberFormat="1" applyFont="1" applyBorder="1" applyAlignment="1">
      <alignment horizontal="left" vertical="center" shrinkToFit="1"/>
    </xf>
    <xf numFmtId="185" fontId="62" fillId="0" borderId="213" xfId="1" applyNumberFormat="1" applyFont="1" applyBorder="1" applyAlignment="1">
      <alignment horizontal="left" vertical="center" shrinkToFit="1"/>
    </xf>
    <xf numFmtId="0" fontId="55" fillId="0" borderId="185" xfId="1" applyFont="1" applyBorder="1" applyAlignment="1">
      <alignment horizontal="center" vertical="center" wrapText="1"/>
    </xf>
    <xf numFmtId="0" fontId="55" fillId="0" borderId="214" xfId="1" applyFont="1" applyBorder="1" applyAlignment="1">
      <alignment horizontal="center" vertical="center" wrapText="1"/>
    </xf>
    <xf numFmtId="0" fontId="55" fillId="0" borderId="201" xfId="1" applyFont="1" applyBorder="1" applyAlignment="1">
      <alignment horizontal="center" vertical="center" wrapText="1"/>
    </xf>
    <xf numFmtId="0" fontId="55" fillId="0" borderId="202" xfId="1" applyFont="1" applyBorder="1" applyAlignment="1">
      <alignment horizontal="center" vertical="center" wrapText="1"/>
    </xf>
    <xf numFmtId="185" fontId="58" fillId="0" borderId="0" xfId="1" applyNumberFormat="1" applyFont="1" applyAlignment="1">
      <alignment horizontal="left" vertical="center" wrapText="1"/>
    </xf>
    <xf numFmtId="185" fontId="58" fillId="0" borderId="216" xfId="1" applyNumberFormat="1" applyFont="1" applyBorder="1" applyAlignment="1">
      <alignment horizontal="left" vertical="center" wrapText="1"/>
    </xf>
    <xf numFmtId="185" fontId="58" fillId="0" borderId="220" xfId="1" applyNumberFormat="1" applyFont="1" applyBorder="1" applyAlignment="1">
      <alignment horizontal="left" vertical="center" wrapText="1"/>
    </xf>
    <xf numFmtId="185" fontId="58" fillId="0" borderId="221" xfId="1" applyNumberFormat="1" applyFont="1" applyBorder="1" applyAlignment="1">
      <alignment horizontal="left" vertical="center" wrapText="1"/>
    </xf>
    <xf numFmtId="38" fontId="30" fillId="0" borderId="126" xfId="2" applyFont="1" applyBorder="1" applyAlignment="1" applyProtection="1">
      <alignment horizontal="center" vertical="center"/>
    </xf>
    <xf numFmtId="0" fontId="55" fillId="0" borderId="18" xfId="1" applyFont="1" applyBorder="1" applyAlignment="1">
      <alignment horizontal="distributed" vertical="center" indent="1" shrinkToFit="1"/>
    </xf>
    <xf numFmtId="0" fontId="55" fillId="0" borderId="99" xfId="1" applyFont="1" applyBorder="1" applyAlignment="1">
      <alignment horizontal="distributed" vertical="center" indent="1" shrinkToFit="1"/>
    </xf>
    <xf numFmtId="0" fontId="55" fillId="0" borderId="23" xfId="1" applyFont="1" applyBorder="1" applyAlignment="1">
      <alignment horizontal="distributed" vertical="center" indent="1" shrinkToFit="1"/>
    </xf>
    <xf numFmtId="0" fontId="55" fillId="0" borderId="210" xfId="1" applyFont="1" applyBorder="1" applyAlignment="1">
      <alignment horizontal="distributed" vertical="center" indent="1" shrinkToFit="1"/>
    </xf>
    <xf numFmtId="0" fontId="58" fillId="0" borderId="21" xfId="1" applyFont="1" applyBorder="1" applyAlignment="1">
      <alignment horizontal="left" vertical="top"/>
    </xf>
    <xf numFmtId="0" fontId="58" fillId="0" borderId="0" xfId="1" applyFont="1" applyAlignment="1">
      <alignment horizontal="left" vertical="top"/>
    </xf>
    <xf numFmtId="38" fontId="59" fillId="0" borderId="0" xfId="2" applyFont="1" applyAlignment="1" applyProtection="1">
      <alignment horizontal="center" vertical="center"/>
    </xf>
    <xf numFmtId="38" fontId="33" fillId="0" borderId="201" xfId="2" applyFont="1" applyFill="1" applyBorder="1" applyAlignment="1" applyProtection="1">
      <alignment horizontal="right" vertical="center" shrinkToFit="1"/>
    </xf>
    <xf numFmtId="38" fontId="33" fillId="0" borderId="202" xfId="2" applyFont="1" applyFill="1" applyBorder="1" applyAlignment="1" applyProtection="1">
      <alignment horizontal="right" vertical="center" shrinkToFit="1"/>
    </xf>
    <xf numFmtId="0" fontId="24" fillId="0" borderId="220" xfId="1" applyBorder="1" applyAlignment="1">
      <alignment horizontal="center"/>
    </xf>
    <xf numFmtId="0" fontId="27" fillId="0" borderId="222" xfId="1" applyFont="1" applyBorder="1" applyAlignment="1">
      <alignment horizontal="center" vertical="center" justifyLastLine="1"/>
    </xf>
    <xf numFmtId="0" fontId="27" fillId="0" borderId="223" xfId="1" applyFont="1" applyBorder="1" applyAlignment="1">
      <alignment horizontal="center" vertical="center" justifyLastLine="1"/>
    </xf>
    <xf numFmtId="38" fontId="33" fillId="6" borderId="192" xfId="2" applyFont="1" applyFill="1" applyBorder="1" applyAlignment="1" applyProtection="1">
      <alignment horizontal="center" vertical="center"/>
    </xf>
    <xf numFmtId="38" fontId="33" fillId="6" borderId="199" xfId="2" applyFont="1" applyFill="1" applyBorder="1" applyAlignment="1" applyProtection="1">
      <alignment horizontal="center" vertical="center"/>
    </xf>
    <xf numFmtId="0" fontId="34" fillId="0" borderId="165" xfId="1" applyFont="1" applyBorder="1" applyAlignment="1">
      <alignment horizontal="center" vertical="center" wrapText="1"/>
    </xf>
    <xf numFmtId="0" fontId="34" fillId="0" borderId="17" xfId="1" applyFont="1" applyBorder="1" applyAlignment="1">
      <alignment horizontal="center" vertical="center" wrapText="1"/>
    </xf>
    <xf numFmtId="38" fontId="33" fillId="9" borderId="13" xfId="2" applyFont="1" applyFill="1" applyBorder="1" applyAlignment="1" applyProtection="1">
      <alignment horizontal="center" vertical="center"/>
    </xf>
    <xf numFmtId="38" fontId="33" fillId="9" borderId="17" xfId="2" applyFont="1" applyFill="1" applyBorder="1" applyAlignment="1" applyProtection="1">
      <alignment horizontal="center" vertical="center"/>
    </xf>
    <xf numFmtId="38" fontId="35" fillId="0" borderId="14" xfId="2" applyFont="1" applyFill="1" applyBorder="1" applyAlignment="1" applyProtection="1">
      <alignment horizontal="right" vertical="center" shrinkToFit="1"/>
    </xf>
    <xf numFmtId="38" fontId="35" fillId="0" borderId="163" xfId="2" applyFont="1" applyFill="1" applyBorder="1" applyAlignment="1" applyProtection="1">
      <alignment horizontal="right" vertical="center" shrinkToFit="1"/>
    </xf>
    <xf numFmtId="38" fontId="33" fillId="0" borderId="14" xfId="2" applyFont="1" applyFill="1" applyBorder="1" applyAlignment="1" applyProtection="1">
      <alignment horizontal="right" vertical="center" shrinkToFit="1"/>
    </xf>
    <xf numFmtId="38" fontId="33" fillId="0" borderId="163" xfId="2" applyFont="1" applyFill="1" applyBorder="1" applyAlignment="1" applyProtection="1">
      <alignment horizontal="right" vertical="center" shrinkToFit="1"/>
    </xf>
    <xf numFmtId="0" fontId="54" fillId="0" borderId="14" xfId="1" applyFont="1" applyBorder="1" applyAlignment="1">
      <alignment horizontal="center" vertical="center" shrinkToFit="1"/>
    </xf>
    <xf numFmtId="0" fontId="54" fillId="0" borderId="206" xfId="1" applyFont="1" applyBorder="1" applyAlignment="1">
      <alignment horizontal="center" vertical="center" shrinkToFit="1"/>
    </xf>
    <xf numFmtId="0" fontId="54" fillId="0" borderId="207" xfId="1" applyFont="1" applyBorder="1" applyAlignment="1">
      <alignment vertical="center"/>
    </xf>
    <xf numFmtId="0" fontId="54" fillId="0" borderId="126" xfId="1" applyFont="1" applyBorder="1" applyAlignment="1">
      <alignment vertical="center"/>
    </xf>
    <xf numFmtId="38" fontId="68" fillId="0" borderId="14" xfId="2" applyFont="1" applyBorder="1" applyAlignment="1" applyProtection="1">
      <alignment horizontal="right" vertical="center"/>
    </xf>
    <xf numFmtId="0" fontId="69" fillId="0" borderId="163" xfId="1" applyFont="1" applyBorder="1" applyAlignment="1">
      <alignment horizontal="right" vertical="center"/>
    </xf>
    <xf numFmtId="38" fontId="68" fillId="0" borderId="163" xfId="2" applyFont="1" applyBorder="1" applyAlignment="1" applyProtection="1">
      <alignment horizontal="right" vertical="center"/>
    </xf>
    <xf numFmtId="38" fontId="33" fillId="10" borderId="12" xfId="2" applyFont="1" applyFill="1" applyBorder="1" applyAlignment="1" applyProtection="1">
      <alignment horizontal="center" vertical="center"/>
    </xf>
    <xf numFmtId="38" fontId="33" fillId="12" borderId="12" xfId="2" applyFont="1" applyFill="1" applyBorder="1" applyAlignment="1" applyProtection="1">
      <alignment horizontal="center" vertical="center"/>
    </xf>
    <xf numFmtId="38" fontId="35" fillId="0" borderId="126" xfId="2" applyFont="1" applyBorder="1" applyAlignment="1" applyProtection="1">
      <alignment horizontal="center" vertical="center"/>
    </xf>
    <xf numFmtId="0" fontId="15" fillId="0" borderId="0" xfId="0" applyFont="1" applyAlignment="1">
      <alignment vertical="center"/>
    </xf>
    <xf numFmtId="0" fontId="4" fillId="0" borderId="0" xfId="0" applyFont="1" applyAlignment="1">
      <alignment vertical="center"/>
    </xf>
    <xf numFmtId="0" fontId="4" fillId="3" borderId="5" xfId="0" applyFont="1" applyFill="1" applyBorder="1" applyAlignment="1">
      <alignment horizontal="center" vertical="center"/>
    </xf>
    <xf numFmtId="0" fontId="4" fillId="3" borderId="5" xfId="0" applyFont="1" applyFill="1" applyBorder="1" applyAlignment="1">
      <alignment vertical="center" shrinkToFit="1"/>
    </xf>
    <xf numFmtId="176" fontId="2" fillId="3" borderId="5" xfId="0" applyNumberFormat="1" applyFont="1" applyFill="1" applyBorder="1" applyAlignment="1">
      <alignment vertical="center"/>
    </xf>
    <xf numFmtId="0" fontId="4" fillId="0" borderId="5" xfId="0" applyFont="1" applyBorder="1" applyAlignment="1">
      <alignment horizontal="center" vertical="center" shrinkToFit="1"/>
    </xf>
    <xf numFmtId="0" fontId="4" fillId="0" borderId="0" xfId="0" applyFont="1" applyFill="1" applyBorder="1" applyAlignment="1">
      <alignment horizontal="left" vertical="center"/>
    </xf>
    <xf numFmtId="0" fontId="4" fillId="0" borderId="0" xfId="0" applyFont="1" applyAlignment="1">
      <alignment horizontal="center" vertical="center"/>
    </xf>
    <xf numFmtId="0" fontId="21" fillId="0" borderId="0" xfId="0" applyFont="1" applyAlignment="1">
      <alignment vertical="center"/>
    </xf>
  </cellXfs>
  <cellStyles count="3">
    <cellStyle name="桁区切り 2" xfId="2" xr:uid="{E6EC1C62-B1E8-4A84-92E3-B0E2D1E87EBA}"/>
    <cellStyle name="標準" xfId="0" builtinId="0"/>
    <cellStyle name="標準 2" xfId="1" xr:uid="{041461AA-4080-4933-934D-47FB899FF01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28575</xdr:colOff>
      <xdr:row>11</xdr:row>
      <xdr:rowOff>80963</xdr:rowOff>
    </xdr:from>
    <xdr:to>
      <xdr:col>5</xdr:col>
      <xdr:colOff>185738</xdr:colOff>
      <xdr:row>13</xdr:row>
      <xdr:rowOff>219075</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1095375" y="1366838"/>
          <a:ext cx="157163" cy="652462"/>
        </a:xfrm>
        <a:prstGeom prst="rightBrace">
          <a:avLst>
            <a:gd name="adj1" fmla="val 45175"/>
            <a:gd name="adj2" fmla="val 50000"/>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28575</xdr:colOff>
      <xdr:row>11</xdr:row>
      <xdr:rowOff>80963</xdr:rowOff>
    </xdr:from>
    <xdr:to>
      <xdr:col>5</xdr:col>
      <xdr:colOff>185738</xdr:colOff>
      <xdr:row>13</xdr:row>
      <xdr:rowOff>219075</xdr:rowOff>
    </xdr:to>
    <xdr:sp macro="" textlink="">
      <xdr:nvSpPr>
        <xdr:cNvPr id="3" name="右中かっこ 2">
          <a:extLst>
            <a:ext uri="{FF2B5EF4-FFF2-40B4-BE49-F238E27FC236}">
              <a16:creationId xmlns:a16="http://schemas.microsoft.com/office/drawing/2014/main" id="{E916501B-8663-43B3-B393-614AB615362B}"/>
            </a:ext>
          </a:extLst>
        </xdr:cNvPr>
        <xdr:cNvSpPr/>
      </xdr:nvSpPr>
      <xdr:spPr>
        <a:xfrm>
          <a:off x="1362075" y="2176463"/>
          <a:ext cx="157163" cy="547687"/>
        </a:xfrm>
        <a:prstGeom prst="rightBrace">
          <a:avLst>
            <a:gd name="adj1" fmla="val 45175"/>
            <a:gd name="adj2" fmla="val 50000"/>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87</xdr:row>
      <xdr:rowOff>19051</xdr:rowOff>
    </xdr:from>
    <xdr:to>
      <xdr:col>24</xdr:col>
      <xdr:colOff>205153</xdr:colOff>
      <xdr:row>107</xdr:row>
      <xdr:rowOff>184490</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38801"/>
          <a:ext cx="6535614" cy="397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43962</xdr:colOff>
      <xdr:row>91</xdr:row>
      <xdr:rowOff>180242</xdr:rowOff>
    </xdr:from>
    <xdr:to>
      <xdr:col>14</xdr:col>
      <xdr:colOff>190500</xdr:colOff>
      <xdr:row>95</xdr:row>
      <xdr:rowOff>175846</xdr:rowOff>
    </xdr:to>
    <xdr:sp macro="" textlink="">
      <xdr:nvSpPr>
        <xdr:cNvPr id="3" name="円/楕円 2">
          <a:extLst>
            <a:ext uri="{FF2B5EF4-FFF2-40B4-BE49-F238E27FC236}">
              <a16:creationId xmlns:a16="http://schemas.microsoft.com/office/drawing/2014/main" id="{00000000-0008-0000-0100-000003000000}"/>
            </a:ext>
          </a:extLst>
        </xdr:cNvPr>
        <xdr:cNvSpPr/>
      </xdr:nvSpPr>
      <xdr:spPr>
        <a:xfrm>
          <a:off x="1626577" y="6561992"/>
          <a:ext cx="2256692" cy="757604"/>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109</xdr:row>
      <xdr:rowOff>9525</xdr:rowOff>
    </xdr:from>
    <xdr:to>
      <xdr:col>16</xdr:col>
      <xdr:colOff>238125</xdr:colOff>
      <xdr:row>109</xdr:row>
      <xdr:rowOff>209550</xdr:rowOff>
    </xdr:to>
    <xdr:sp macro="" textlink="">
      <xdr:nvSpPr>
        <xdr:cNvPr id="5" name="円/楕円 4">
          <a:extLst>
            <a:ext uri="{FF2B5EF4-FFF2-40B4-BE49-F238E27FC236}">
              <a16:creationId xmlns:a16="http://schemas.microsoft.com/office/drawing/2014/main" id="{00000000-0008-0000-0100-000005000000}"/>
            </a:ext>
          </a:extLst>
        </xdr:cNvPr>
        <xdr:cNvSpPr/>
      </xdr:nvSpPr>
      <xdr:spPr>
        <a:xfrm>
          <a:off x="3524250" y="9058275"/>
          <a:ext cx="981075" cy="20002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219808</xdr:colOff>
      <xdr:row>95</xdr:row>
      <xdr:rowOff>168519</xdr:rowOff>
    </xdr:from>
    <xdr:to>
      <xdr:col>17</xdr:col>
      <xdr:colOff>8831</xdr:colOff>
      <xdr:row>108</xdr:row>
      <xdr:rowOff>1</xdr:rowOff>
    </xdr:to>
    <xdr:sp macro="" textlink="">
      <xdr:nvSpPr>
        <xdr:cNvPr id="6" name="フリーフォーム 5">
          <a:extLst>
            <a:ext uri="{FF2B5EF4-FFF2-40B4-BE49-F238E27FC236}">
              <a16:creationId xmlns:a16="http://schemas.microsoft.com/office/drawing/2014/main" id="{00000000-0008-0000-0100-000006000000}"/>
            </a:ext>
          </a:extLst>
        </xdr:cNvPr>
        <xdr:cNvSpPr/>
      </xdr:nvSpPr>
      <xdr:spPr>
        <a:xfrm>
          <a:off x="3121270" y="7312269"/>
          <a:ext cx="1371638" cy="2498482"/>
        </a:xfrm>
        <a:custGeom>
          <a:avLst/>
          <a:gdLst>
            <a:gd name="connsiteX0" fmla="*/ 0 w 1335003"/>
            <a:gd name="connsiteY0" fmla="*/ 0 h 3238500"/>
            <a:gd name="connsiteX1" fmla="*/ 1267558 w 1335003"/>
            <a:gd name="connsiteY1" fmla="*/ 1868365 h 3238500"/>
            <a:gd name="connsiteX2" fmla="*/ 1047750 w 1335003"/>
            <a:gd name="connsiteY2" fmla="*/ 3238500 h 3238500"/>
          </a:gdLst>
          <a:ahLst/>
          <a:cxnLst>
            <a:cxn ang="0">
              <a:pos x="connsiteX0" y="connsiteY0"/>
            </a:cxn>
            <a:cxn ang="0">
              <a:pos x="connsiteX1" y="connsiteY1"/>
            </a:cxn>
            <a:cxn ang="0">
              <a:pos x="connsiteX2" y="connsiteY2"/>
            </a:cxn>
          </a:cxnLst>
          <a:rect l="l" t="t" r="r" b="b"/>
          <a:pathLst>
            <a:path w="1335003" h="3238500">
              <a:moveTo>
                <a:pt x="0" y="0"/>
              </a:moveTo>
              <a:cubicBezTo>
                <a:pt x="546466" y="664307"/>
                <a:pt x="1092933" y="1328615"/>
                <a:pt x="1267558" y="1868365"/>
              </a:cubicBezTo>
              <a:cubicBezTo>
                <a:pt x="1442183" y="2408115"/>
                <a:pt x="1244966" y="2823307"/>
                <a:pt x="1047750" y="3238500"/>
              </a:cubicBezTo>
            </a:path>
          </a:pathLst>
        </a:custGeom>
        <a:noFill/>
        <a:ln w="19050">
          <a:solidFill>
            <a:srgbClr val="FF0000"/>
          </a:solidFill>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xdr:colOff>
      <xdr:row>58</xdr:row>
      <xdr:rowOff>14658</xdr:rowOff>
    </xdr:from>
    <xdr:to>
      <xdr:col>11</xdr:col>
      <xdr:colOff>109903</xdr:colOff>
      <xdr:row>79</xdr:row>
      <xdr:rowOff>177758</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 y="205158"/>
          <a:ext cx="3011363" cy="41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42497</xdr:colOff>
      <xdr:row>81</xdr:row>
      <xdr:rowOff>9525</xdr:rowOff>
    </xdr:from>
    <xdr:to>
      <xdr:col>12</xdr:col>
      <xdr:colOff>223472</xdr:colOff>
      <xdr:row>82</xdr:row>
      <xdr:rowOff>0</xdr:rowOff>
    </xdr:to>
    <xdr:sp macro="" textlink="">
      <xdr:nvSpPr>
        <xdr:cNvPr id="8" name="円/楕円 7">
          <a:extLst>
            <a:ext uri="{FF2B5EF4-FFF2-40B4-BE49-F238E27FC236}">
              <a16:creationId xmlns:a16="http://schemas.microsoft.com/office/drawing/2014/main" id="{00000000-0008-0000-0100-000008000000}"/>
            </a:ext>
          </a:extLst>
        </xdr:cNvPr>
        <xdr:cNvSpPr/>
      </xdr:nvSpPr>
      <xdr:spPr>
        <a:xfrm>
          <a:off x="2416420" y="6296025"/>
          <a:ext cx="972283" cy="18097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124566</xdr:colOff>
      <xdr:row>61</xdr:row>
      <xdr:rowOff>95250</xdr:rowOff>
    </xdr:from>
    <xdr:to>
      <xdr:col>4</xdr:col>
      <xdr:colOff>234463</xdr:colOff>
      <xdr:row>62</xdr:row>
      <xdr:rowOff>137013</xdr:rowOff>
    </xdr:to>
    <xdr:sp macro="" textlink="">
      <xdr:nvSpPr>
        <xdr:cNvPr id="9" name="円/楕円 8">
          <a:extLst>
            <a:ext uri="{FF2B5EF4-FFF2-40B4-BE49-F238E27FC236}">
              <a16:creationId xmlns:a16="http://schemas.microsoft.com/office/drawing/2014/main" id="{00000000-0008-0000-0100-000009000000}"/>
            </a:ext>
          </a:extLst>
        </xdr:cNvPr>
        <xdr:cNvSpPr/>
      </xdr:nvSpPr>
      <xdr:spPr>
        <a:xfrm>
          <a:off x="652104" y="857250"/>
          <a:ext cx="637436" cy="232263"/>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183173</xdr:colOff>
      <xdr:row>62</xdr:row>
      <xdr:rowOff>102577</xdr:rowOff>
    </xdr:from>
    <xdr:to>
      <xdr:col>13</xdr:col>
      <xdr:colOff>206515</xdr:colOff>
      <xdr:row>80</xdr:row>
      <xdr:rowOff>0</xdr:rowOff>
    </xdr:to>
    <xdr:sp macro="" textlink="">
      <xdr:nvSpPr>
        <xdr:cNvPr id="10" name="フリーフォーム 9">
          <a:extLst>
            <a:ext uri="{FF2B5EF4-FFF2-40B4-BE49-F238E27FC236}">
              <a16:creationId xmlns:a16="http://schemas.microsoft.com/office/drawing/2014/main" id="{00000000-0008-0000-0100-00000A000000}"/>
            </a:ext>
          </a:extLst>
        </xdr:cNvPr>
        <xdr:cNvSpPr/>
      </xdr:nvSpPr>
      <xdr:spPr>
        <a:xfrm>
          <a:off x="1238250" y="1055077"/>
          <a:ext cx="2397265" cy="3326423"/>
        </a:xfrm>
        <a:custGeom>
          <a:avLst/>
          <a:gdLst>
            <a:gd name="connsiteX0" fmla="*/ 0 w 2397265"/>
            <a:gd name="connsiteY0" fmla="*/ 0 h 3472961"/>
            <a:gd name="connsiteX1" fmla="*/ 2286000 w 2397265"/>
            <a:gd name="connsiteY1" fmla="*/ 1773115 h 3472961"/>
            <a:gd name="connsiteX2" fmla="*/ 1831731 w 2397265"/>
            <a:gd name="connsiteY2" fmla="*/ 3472961 h 3472961"/>
          </a:gdLst>
          <a:ahLst/>
          <a:cxnLst>
            <a:cxn ang="0">
              <a:pos x="connsiteX0" y="connsiteY0"/>
            </a:cxn>
            <a:cxn ang="0">
              <a:pos x="connsiteX1" y="connsiteY1"/>
            </a:cxn>
            <a:cxn ang="0">
              <a:pos x="connsiteX2" y="connsiteY2"/>
            </a:cxn>
          </a:cxnLst>
          <a:rect l="l" t="t" r="r" b="b"/>
          <a:pathLst>
            <a:path w="2397265" h="3472961">
              <a:moveTo>
                <a:pt x="0" y="0"/>
              </a:moveTo>
              <a:cubicBezTo>
                <a:pt x="990356" y="597144"/>
                <a:pt x="1980712" y="1194288"/>
                <a:pt x="2286000" y="1773115"/>
              </a:cubicBezTo>
              <a:cubicBezTo>
                <a:pt x="2591288" y="2351942"/>
                <a:pt x="2211509" y="2912451"/>
                <a:pt x="1831731" y="3472961"/>
              </a:cubicBezTo>
            </a:path>
          </a:pathLst>
        </a:custGeom>
        <a:noFill/>
        <a:ln w="19050">
          <a:solidFill>
            <a:srgbClr val="FF0000"/>
          </a:solidFill>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200025</xdr:colOff>
      <xdr:row>3</xdr:row>
      <xdr:rowOff>9527</xdr:rowOff>
    </xdr:from>
    <xdr:to>
      <xdr:col>25</xdr:col>
      <xdr:colOff>257175</xdr:colOff>
      <xdr:row>28</xdr:row>
      <xdr:rowOff>171703</xdr:rowOff>
    </xdr:to>
    <xdr:pic>
      <xdr:nvPicPr>
        <xdr:cNvPr id="12" name="図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0425" y="390527"/>
          <a:ext cx="3524250" cy="492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9525</xdr:rowOff>
    </xdr:from>
    <xdr:to>
      <xdr:col>12</xdr:col>
      <xdr:colOff>249276</xdr:colOff>
      <xdr:row>28</xdr:row>
      <xdr:rowOff>47624</xdr:rowOff>
    </xdr:to>
    <xdr:pic>
      <xdr:nvPicPr>
        <xdr:cNvPr id="13" name="図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90525"/>
          <a:ext cx="3449676" cy="4800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61547</xdr:colOff>
      <xdr:row>30</xdr:row>
      <xdr:rowOff>9525</xdr:rowOff>
    </xdr:from>
    <xdr:to>
      <xdr:col>20</xdr:col>
      <xdr:colOff>242522</xdr:colOff>
      <xdr:row>31</xdr:row>
      <xdr:rowOff>0</xdr:rowOff>
    </xdr:to>
    <xdr:sp macro="" textlink="">
      <xdr:nvSpPr>
        <xdr:cNvPr id="14" name="円/楕円 13">
          <a:extLst>
            <a:ext uri="{FF2B5EF4-FFF2-40B4-BE49-F238E27FC236}">
              <a16:creationId xmlns:a16="http://schemas.microsoft.com/office/drawing/2014/main" id="{00000000-0008-0000-0100-00000E000000}"/>
            </a:ext>
          </a:extLst>
        </xdr:cNvPr>
        <xdr:cNvSpPr/>
      </xdr:nvSpPr>
      <xdr:spPr>
        <a:xfrm>
          <a:off x="4595447" y="5534025"/>
          <a:ext cx="981075" cy="18097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19050</xdr:colOff>
      <xdr:row>17</xdr:row>
      <xdr:rowOff>19050</xdr:rowOff>
    </xdr:from>
    <xdr:to>
      <xdr:col>6</xdr:col>
      <xdr:colOff>200025</xdr:colOff>
      <xdr:row>18</xdr:row>
      <xdr:rowOff>9525</xdr:rowOff>
    </xdr:to>
    <xdr:sp macro="" textlink="">
      <xdr:nvSpPr>
        <xdr:cNvPr id="15" name="円/楕円 14">
          <a:extLst>
            <a:ext uri="{FF2B5EF4-FFF2-40B4-BE49-F238E27FC236}">
              <a16:creationId xmlns:a16="http://schemas.microsoft.com/office/drawing/2014/main" id="{00000000-0008-0000-0100-00000F000000}"/>
            </a:ext>
          </a:extLst>
        </xdr:cNvPr>
        <xdr:cNvSpPr/>
      </xdr:nvSpPr>
      <xdr:spPr>
        <a:xfrm>
          <a:off x="819150" y="3067050"/>
          <a:ext cx="981075" cy="18097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209550</xdr:colOff>
      <xdr:row>19</xdr:row>
      <xdr:rowOff>180975</xdr:rowOff>
    </xdr:from>
    <xdr:to>
      <xdr:col>19</xdr:col>
      <xdr:colOff>123825</xdr:colOff>
      <xdr:row>20</xdr:row>
      <xdr:rowOff>171450</xdr:rowOff>
    </xdr:to>
    <xdr:sp macro="" textlink="">
      <xdr:nvSpPr>
        <xdr:cNvPr id="16" name="円/楕円 15">
          <a:extLst>
            <a:ext uri="{FF2B5EF4-FFF2-40B4-BE49-F238E27FC236}">
              <a16:creationId xmlns:a16="http://schemas.microsoft.com/office/drawing/2014/main" id="{00000000-0008-0000-0100-000010000000}"/>
            </a:ext>
          </a:extLst>
        </xdr:cNvPr>
        <xdr:cNvSpPr/>
      </xdr:nvSpPr>
      <xdr:spPr>
        <a:xfrm>
          <a:off x="4210050" y="3609975"/>
          <a:ext cx="981075" cy="18097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38100</xdr:colOff>
      <xdr:row>18</xdr:row>
      <xdr:rowOff>19050</xdr:rowOff>
    </xdr:from>
    <xdr:to>
      <xdr:col>17</xdr:col>
      <xdr:colOff>180975</xdr:colOff>
      <xdr:row>29</xdr:row>
      <xdr:rowOff>0</xdr:rowOff>
    </xdr:to>
    <xdr:cxnSp macro="">
      <xdr:nvCxnSpPr>
        <xdr:cNvPr id="18" name="直線矢印コネクタ 17">
          <a:extLst>
            <a:ext uri="{FF2B5EF4-FFF2-40B4-BE49-F238E27FC236}">
              <a16:creationId xmlns:a16="http://schemas.microsoft.com/office/drawing/2014/main" id="{00000000-0008-0000-0100-000012000000}"/>
            </a:ext>
          </a:extLst>
        </xdr:cNvPr>
        <xdr:cNvCxnSpPr/>
      </xdr:nvCxnSpPr>
      <xdr:spPr>
        <a:xfrm>
          <a:off x="1638300" y="3257550"/>
          <a:ext cx="3076575" cy="2076450"/>
        </a:xfrm>
        <a:prstGeom prst="straightConnector1">
          <a:avLst/>
        </a:prstGeom>
        <a:ln w="1905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257175</xdr:colOff>
      <xdr:row>21</xdr:row>
      <xdr:rowOff>38100</xdr:rowOff>
    </xdr:from>
    <xdr:to>
      <xdr:col>18</xdr:col>
      <xdr:colOff>161925</xdr:colOff>
      <xdr:row>28</xdr:row>
      <xdr:rowOff>180975</xdr:rowOff>
    </xdr:to>
    <xdr:cxnSp macro="">
      <xdr:nvCxnSpPr>
        <xdr:cNvPr id="20" name="直線矢印コネクタ 19">
          <a:extLst>
            <a:ext uri="{FF2B5EF4-FFF2-40B4-BE49-F238E27FC236}">
              <a16:creationId xmlns:a16="http://schemas.microsoft.com/office/drawing/2014/main" id="{00000000-0008-0000-0100-000014000000}"/>
            </a:ext>
          </a:extLst>
        </xdr:cNvPr>
        <xdr:cNvCxnSpPr/>
      </xdr:nvCxnSpPr>
      <xdr:spPr>
        <a:xfrm>
          <a:off x="4791075" y="3848100"/>
          <a:ext cx="171450" cy="1476375"/>
        </a:xfrm>
        <a:prstGeom prst="straightConnector1">
          <a:avLst/>
        </a:prstGeom>
        <a:ln w="1905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365990</xdr:colOff>
      <xdr:row>33</xdr:row>
      <xdr:rowOff>20781</xdr:rowOff>
    </xdr:from>
    <xdr:to>
      <xdr:col>8</xdr:col>
      <xdr:colOff>1013690</xdr:colOff>
      <xdr:row>34</xdr:row>
      <xdr:rowOff>121228</xdr:rowOff>
    </xdr:to>
    <xdr:sp macro="" textlink="">
      <xdr:nvSpPr>
        <xdr:cNvPr id="2" name="AutoShape 2">
          <a:extLst>
            <a:ext uri="{FF2B5EF4-FFF2-40B4-BE49-F238E27FC236}">
              <a16:creationId xmlns:a16="http://schemas.microsoft.com/office/drawing/2014/main" id="{DA7A947D-60F0-49A8-BBF7-ACB41F24FCBF}"/>
            </a:ext>
          </a:extLst>
        </xdr:cNvPr>
        <xdr:cNvSpPr>
          <a:spLocks noChangeArrowheads="1"/>
        </xdr:cNvSpPr>
      </xdr:nvSpPr>
      <xdr:spPr bwMode="auto">
        <a:xfrm>
          <a:off x="7547840" y="11326956"/>
          <a:ext cx="2105025" cy="500497"/>
        </a:xfrm>
        <a:prstGeom prst="wedgeRoundRectCallout">
          <a:avLst>
            <a:gd name="adj1" fmla="val -67616"/>
            <a:gd name="adj2" fmla="val 3254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任意継続と比べる場合はこの数字で比較してください。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285750</xdr:colOff>
      <xdr:row>32</xdr:row>
      <xdr:rowOff>238124</xdr:rowOff>
    </xdr:from>
    <xdr:to>
      <xdr:col>8</xdr:col>
      <xdr:colOff>933450</xdr:colOff>
      <xdr:row>34</xdr:row>
      <xdr:rowOff>174624</xdr:rowOff>
    </xdr:to>
    <xdr:sp macro="" textlink="">
      <xdr:nvSpPr>
        <xdr:cNvPr id="2" name="AutoShape 2">
          <a:extLst>
            <a:ext uri="{FF2B5EF4-FFF2-40B4-BE49-F238E27FC236}">
              <a16:creationId xmlns:a16="http://schemas.microsoft.com/office/drawing/2014/main" id="{9931F18B-1FDF-4E9A-BE79-D3609ED75B8F}"/>
            </a:ext>
          </a:extLst>
        </xdr:cNvPr>
        <xdr:cNvSpPr>
          <a:spLocks noChangeArrowheads="1"/>
        </xdr:cNvSpPr>
      </xdr:nvSpPr>
      <xdr:spPr bwMode="auto">
        <a:xfrm>
          <a:off x="6705600" y="11125199"/>
          <a:ext cx="1838325" cy="584200"/>
        </a:xfrm>
        <a:prstGeom prst="wedgeRoundRectCallout">
          <a:avLst>
            <a:gd name="adj1" fmla="val -67616"/>
            <a:gd name="adj2" fmla="val 3254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任意継続と比べる場合はこの数字で比較してください。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279401</xdr:colOff>
      <xdr:row>32</xdr:row>
      <xdr:rowOff>269875</xdr:rowOff>
    </xdr:from>
    <xdr:to>
      <xdr:col>8</xdr:col>
      <xdr:colOff>904876</xdr:colOff>
      <xdr:row>34</xdr:row>
      <xdr:rowOff>180975</xdr:rowOff>
    </xdr:to>
    <xdr:sp macro="" textlink="">
      <xdr:nvSpPr>
        <xdr:cNvPr id="2" name="AutoShape 2">
          <a:extLst>
            <a:ext uri="{FF2B5EF4-FFF2-40B4-BE49-F238E27FC236}">
              <a16:creationId xmlns:a16="http://schemas.microsoft.com/office/drawing/2014/main" id="{5076DF92-0CB3-491D-8D8F-A491693156BD}"/>
            </a:ext>
          </a:extLst>
        </xdr:cNvPr>
        <xdr:cNvSpPr>
          <a:spLocks noChangeArrowheads="1"/>
        </xdr:cNvSpPr>
      </xdr:nvSpPr>
      <xdr:spPr bwMode="auto">
        <a:xfrm>
          <a:off x="6699251" y="11156950"/>
          <a:ext cx="1816100" cy="558800"/>
        </a:xfrm>
        <a:prstGeom prst="wedgeRoundRectCallout">
          <a:avLst>
            <a:gd name="adj1" fmla="val -67616"/>
            <a:gd name="adj2" fmla="val 3254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任意継続と比べる場合はこの数字で比較してください。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279400</xdr:colOff>
      <xdr:row>32</xdr:row>
      <xdr:rowOff>238125</xdr:rowOff>
    </xdr:from>
    <xdr:to>
      <xdr:col>8</xdr:col>
      <xdr:colOff>936625</xdr:colOff>
      <xdr:row>34</xdr:row>
      <xdr:rowOff>180975</xdr:rowOff>
    </xdr:to>
    <xdr:sp macro="" textlink="">
      <xdr:nvSpPr>
        <xdr:cNvPr id="2" name="AutoShape 2">
          <a:extLst>
            <a:ext uri="{FF2B5EF4-FFF2-40B4-BE49-F238E27FC236}">
              <a16:creationId xmlns:a16="http://schemas.microsoft.com/office/drawing/2014/main" id="{D62F0D2E-C4F3-46BF-B3A7-BFC6C8DF7D6B}"/>
            </a:ext>
          </a:extLst>
        </xdr:cNvPr>
        <xdr:cNvSpPr>
          <a:spLocks noChangeArrowheads="1"/>
        </xdr:cNvSpPr>
      </xdr:nvSpPr>
      <xdr:spPr bwMode="auto">
        <a:xfrm>
          <a:off x="6699250" y="11115675"/>
          <a:ext cx="1847850" cy="590550"/>
        </a:xfrm>
        <a:prstGeom prst="wedgeRoundRectCallout">
          <a:avLst>
            <a:gd name="adj1" fmla="val -67616"/>
            <a:gd name="adj2" fmla="val 3254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任意継続と比べる場合はこの数字で比較してください。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I124"/>
  <sheetViews>
    <sheetView tabSelected="1" zoomScaleNormal="100" zoomScaleSheetLayoutView="100" workbookViewId="0"/>
  </sheetViews>
  <sheetFormatPr defaultColWidth="3.5" defaultRowHeight="16.5" customHeight="1" x14ac:dyDescent="0.15"/>
  <cols>
    <col min="1" max="27" width="3.5" style="1"/>
    <col min="28" max="79" width="3.5" style="1" hidden="1" customWidth="1"/>
    <col min="80" max="83" width="0" style="1" hidden="1" customWidth="1"/>
    <col min="84" max="16384" width="3.5" style="1"/>
  </cols>
  <sheetData>
    <row r="1" spans="1:191" ht="16.5" customHeight="1" thickBot="1" x14ac:dyDescent="0.2"/>
    <row r="2" spans="1:191" ht="16.5" customHeight="1" x14ac:dyDescent="0.15">
      <c r="B2" s="670" t="s">
        <v>183</v>
      </c>
      <c r="C2" s="670"/>
      <c r="D2" s="670"/>
      <c r="E2" s="670"/>
      <c r="F2" s="670"/>
      <c r="G2" s="670"/>
      <c r="H2" s="670"/>
      <c r="I2" s="670"/>
      <c r="J2" s="670"/>
      <c r="K2" s="670"/>
      <c r="L2" s="670"/>
      <c r="M2" s="670"/>
      <c r="N2" s="670"/>
      <c r="O2" s="670"/>
      <c r="P2" s="670"/>
      <c r="Q2" s="670"/>
      <c r="R2" s="670"/>
      <c r="S2" s="670"/>
      <c r="T2" s="670"/>
      <c r="U2" s="670"/>
      <c r="V2" s="670"/>
      <c r="W2" s="670"/>
      <c r="X2" s="670"/>
      <c r="Y2" s="670"/>
      <c r="Z2" s="670"/>
      <c r="AB2" s="2"/>
      <c r="AI2" s="556"/>
      <c r="AJ2" s="553"/>
      <c r="AK2" s="564" t="s">
        <v>48</v>
      </c>
      <c r="AL2" s="565"/>
      <c r="AM2" s="565"/>
      <c r="AN2" s="565"/>
      <c r="AO2" s="565"/>
      <c r="AP2" s="565"/>
      <c r="AQ2" s="565"/>
      <c r="AR2" s="565"/>
      <c r="AS2" s="565"/>
      <c r="AT2" s="565"/>
      <c r="AU2" s="565"/>
      <c r="AV2" s="565"/>
      <c r="AW2" s="565"/>
      <c r="AX2" s="566"/>
      <c r="AY2" s="397" t="s">
        <v>46</v>
      </c>
      <c r="AZ2" s="552"/>
      <c r="BA2" s="552"/>
      <c r="BB2" s="553"/>
      <c r="BC2" s="556" t="s">
        <v>47</v>
      </c>
      <c r="BD2" s="552"/>
      <c r="BE2" s="552"/>
      <c r="BF2" s="552"/>
      <c r="BG2" s="552"/>
      <c r="BH2" s="552"/>
      <c r="BI2" s="605"/>
      <c r="BJ2" s="559" t="s">
        <v>53</v>
      </c>
      <c r="BK2" s="547"/>
      <c r="BL2" s="560"/>
      <c r="BM2" s="546" t="s">
        <v>60</v>
      </c>
      <c r="BN2" s="547"/>
      <c r="BO2" s="548"/>
      <c r="BP2" s="576" t="s">
        <v>59</v>
      </c>
      <c r="BQ2" s="577"/>
      <c r="BR2" s="577"/>
      <c r="BS2" s="567" t="s">
        <v>65</v>
      </c>
      <c r="BT2" s="568"/>
      <c r="BU2" s="569"/>
      <c r="BV2" s="562" t="s">
        <v>54</v>
      </c>
      <c r="BW2" s="547"/>
      <c r="BX2" s="548"/>
      <c r="BY2" s="580" t="s">
        <v>55</v>
      </c>
      <c r="BZ2" s="582" t="s">
        <v>57</v>
      </c>
      <c r="CA2" s="584" t="s">
        <v>56</v>
      </c>
    </row>
    <row r="3" spans="1:191" ht="16.5" customHeight="1" thickBot="1" x14ac:dyDescent="0.2">
      <c r="B3" s="671"/>
      <c r="C3" s="671"/>
      <c r="D3" s="671"/>
      <c r="E3" s="671"/>
      <c r="F3" s="671"/>
      <c r="G3" s="671"/>
      <c r="H3" s="671"/>
      <c r="I3" s="671"/>
      <c r="J3" s="671"/>
      <c r="K3" s="671"/>
      <c r="L3" s="671"/>
      <c r="M3" s="671"/>
      <c r="N3" s="671"/>
      <c r="O3" s="671"/>
      <c r="P3" s="671"/>
      <c r="Q3" s="671"/>
      <c r="R3" s="671"/>
      <c r="S3" s="671"/>
      <c r="T3" s="671"/>
      <c r="U3" s="671"/>
      <c r="V3" s="671"/>
      <c r="W3" s="671"/>
      <c r="X3" s="671"/>
      <c r="Y3" s="671"/>
      <c r="Z3" s="671"/>
      <c r="AB3" s="2" t="s">
        <v>1</v>
      </c>
      <c r="AC3" s="1" t="s">
        <v>3</v>
      </c>
      <c r="AI3" s="557"/>
      <c r="AJ3" s="558"/>
      <c r="AK3" s="20" t="s">
        <v>43</v>
      </c>
      <c r="AL3" s="522" t="s">
        <v>25</v>
      </c>
      <c r="AM3" s="522"/>
      <c r="AN3" s="522"/>
      <c r="AO3" s="522" t="s">
        <v>44</v>
      </c>
      <c r="AP3" s="522"/>
      <c r="AQ3" s="522"/>
      <c r="AR3" s="16" t="s">
        <v>45</v>
      </c>
      <c r="AS3" s="522" t="s">
        <v>107</v>
      </c>
      <c r="AT3" s="522"/>
      <c r="AU3" s="522"/>
      <c r="AV3" s="522" t="s">
        <v>42</v>
      </c>
      <c r="AW3" s="522"/>
      <c r="AX3" s="524"/>
      <c r="AY3" s="17" t="s">
        <v>43</v>
      </c>
      <c r="AZ3" s="522" t="s">
        <v>49</v>
      </c>
      <c r="BA3" s="522"/>
      <c r="BB3" s="542"/>
      <c r="BC3" s="20" t="s">
        <v>43</v>
      </c>
      <c r="BD3" s="522" t="s">
        <v>50</v>
      </c>
      <c r="BE3" s="522"/>
      <c r="BF3" s="522"/>
      <c r="BG3" s="522" t="s">
        <v>51</v>
      </c>
      <c r="BH3" s="522"/>
      <c r="BI3" s="524"/>
      <c r="BJ3" s="561"/>
      <c r="BK3" s="522"/>
      <c r="BL3" s="542"/>
      <c r="BM3" s="549"/>
      <c r="BN3" s="550"/>
      <c r="BO3" s="551"/>
      <c r="BP3" s="578"/>
      <c r="BQ3" s="579"/>
      <c r="BR3" s="579"/>
      <c r="BS3" s="570"/>
      <c r="BT3" s="570"/>
      <c r="BU3" s="571"/>
      <c r="BV3" s="563"/>
      <c r="BW3" s="522"/>
      <c r="BX3" s="524"/>
      <c r="BY3" s="581"/>
      <c r="BZ3" s="583"/>
      <c r="CA3" s="585"/>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row>
    <row r="4" spans="1:191" ht="16.5" customHeight="1" x14ac:dyDescent="0.15">
      <c r="A4" s="93"/>
      <c r="B4" s="57"/>
      <c r="C4" s="94"/>
      <c r="D4" s="94"/>
      <c r="E4" s="94"/>
      <c r="F4" s="53"/>
      <c r="G4" s="120"/>
      <c r="H4" s="120"/>
      <c r="I4" s="120"/>
      <c r="J4" s="120"/>
      <c r="K4" s="120"/>
      <c r="L4" s="120"/>
      <c r="M4" s="120"/>
      <c r="N4" s="120"/>
      <c r="O4" s="120"/>
      <c r="P4" s="120"/>
      <c r="Q4" s="120"/>
      <c r="R4" s="120"/>
      <c r="S4" s="120"/>
      <c r="T4" s="120"/>
      <c r="U4" s="120"/>
      <c r="V4" s="120"/>
      <c r="W4" s="120"/>
      <c r="X4" s="120"/>
      <c r="Y4" s="120"/>
      <c r="Z4" s="121"/>
      <c r="AA4" s="93"/>
      <c r="AB4" s="2" t="s">
        <v>2</v>
      </c>
      <c r="AC4" s="1" t="s">
        <v>4</v>
      </c>
      <c r="AI4" s="452" t="str">
        <f>IF(B21=$AB$4,"Ａ様","")</f>
        <v/>
      </c>
      <c r="AJ4" s="453"/>
      <c r="AK4" s="21" t="str">
        <f t="shared" ref="AK4:AK8" si="0">IF(AI4="",$AB$36,IF(L21=0,$AB$36,IF(L21&lt;$AC$38,$AB$37,IF(L21&lt;$AC$39,$AB$38,IF(L21&lt;$AC$40,$AB$39,IF(L21&lt;$AC$41,$AB$40,IF(L21&lt;$AC$42,$AB$41,IF(L21&lt;$AC$43,$AB$42,IF(L21&lt;$AC$44,$AB$43,IF(L21&lt;$AC$45,$AB$44,IF(L21&lt;$AC$46,$AB$45,IF(L21&lt;$AC$47,$AB$46,$AB$47))))))))))))</f>
        <v>A</v>
      </c>
      <c r="AL4" s="449">
        <f t="shared" ref="AL4:AL8" si="1">IF(AI4="",0,L21-AO4)</f>
        <v>0</v>
      </c>
      <c r="AM4" s="449"/>
      <c r="AN4" s="449"/>
      <c r="AO4" s="449">
        <f>(L21*VLOOKUP(AK4,$AB$36:$BA$47,12,FALSE))+((ROUNDDOWN(L21/VLOOKUP(AK4,$AB$36:$BA$47,16,FALSE),VLOOKUP(AK4,$AB$36:$BA$47,19,FALSE)))*(VLOOKUP(AK4,$AB$36:$BA$47,22,FALSE)))+(VLOOKUP(AK4,$AB$36:$BA$47,24,FALSE))</f>
        <v>0</v>
      </c>
      <c r="AP4" s="449"/>
      <c r="AQ4" s="449"/>
      <c r="AR4" s="15" t="str">
        <f>IF(AO4=0,"",IF(AZ4+BD4=0,"",IF((AO4+AZ4+BD4)&lt;100000,"",$AB$5)))</f>
        <v/>
      </c>
      <c r="AS4" s="533">
        <f>IF(AR4=$AB$5,IF(AO4&gt;((IF(AO4&gt;100000,100000,AO4)+IF((AZ4+BD4)&gt;100000,100000,AZ4+BD4))-100000),((IF(AO4&gt;100000,100000,AO4)+IF((AZ4+BD4)&gt;100000,100000,AZ4+BD4))-100000),AO4),0)</f>
        <v>0</v>
      </c>
      <c r="AT4" s="534"/>
      <c r="AU4" s="535"/>
      <c r="AV4" s="449">
        <f>AO4-AS4</f>
        <v>0</v>
      </c>
      <c r="AW4" s="449"/>
      <c r="AX4" s="525"/>
      <c r="AY4" s="18" t="str">
        <f t="shared" ref="AY4:AY8" si="2">IF(AI4="",$BC$42,IF(D21=$AC$5,$BC$42,IF(Q21=0,$BC$42,IF(Q21&lt;$BD$44,$BC$43,IF(Q21&lt;$BD$45,$BC$44,IF(Q21&lt;$BD$46,$BC$45,IF(Q21&lt;$BD$47,$BC$46,IF(Q21&lt;$BD$48,$BC$47,$BC$48))))))))</f>
        <v>A</v>
      </c>
      <c r="AZ4" s="449">
        <f t="shared" ref="AZ4:AZ8" si="3">(Q21*VLOOKUP(AY4,$BC$42:$BW$48,14,FALSE))-VLOOKUP(AY4,$BC$42:$BW$48,18,FALSE)</f>
        <v>0</v>
      </c>
      <c r="BA4" s="449"/>
      <c r="BB4" s="543"/>
      <c r="BC4" s="39" t="str">
        <f t="shared" ref="BC4:BC8" si="4">IF(AI4="",$BC$52,IF(D21=$AC$5,IF(Q21=0,$BC$52,IF(Q21&lt;$BD$54,$BC$53,IF(Q21&lt;$BD$55,$BC$54,IF(Q21&lt;$BD$56,$BC$55,IF(Q21&lt;$BD$57,$BC$56,IF(Q21&lt;$BD$58,$BC$57,$BC$58)))))),$BC$52))</f>
        <v>A</v>
      </c>
      <c r="BD4" s="449">
        <f t="shared" ref="BD4:BD8" si="5">(Q21*VLOOKUP(BC4,$BC$52:$BW$58,14,FALSE))-VLOOKUP(BC4,$BC$52:$BW$58,18,FALSE)</f>
        <v>0</v>
      </c>
      <c r="BE4" s="449"/>
      <c r="BF4" s="449"/>
      <c r="BG4" s="449">
        <f t="shared" ref="BG4:BG11" si="6">IF(BD4-150000&lt;0,0,BD4-150000)</f>
        <v>0</v>
      </c>
      <c r="BH4" s="449"/>
      <c r="BI4" s="525"/>
      <c r="BJ4" s="554">
        <f t="shared" ref="BJ4:BJ8" si="7">IF(AI4="",0,V21)+AV4+AZ4+BD4</f>
        <v>0</v>
      </c>
      <c r="BK4" s="449"/>
      <c r="BL4" s="543"/>
      <c r="BM4" s="607">
        <f t="shared" ref="BM4:BM11" si="8">IF(BJ4-$AE$19&lt;0,0,BJ4-$AE$19)</f>
        <v>0</v>
      </c>
      <c r="BN4" s="608"/>
      <c r="BO4" s="609"/>
      <c r="BP4" s="544">
        <f>IF(BZ4=$AB$5,BJ4,0)</f>
        <v>0</v>
      </c>
      <c r="BQ4" s="545"/>
      <c r="BR4" s="545"/>
      <c r="BS4" s="572">
        <f t="shared" ref="BS4:BS11" si="9">IF(BP4-$AE$19&lt;0,0,BP4-$AE$19)</f>
        <v>0</v>
      </c>
      <c r="BT4" s="572"/>
      <c r="BU4" s="573"/>
      <c r="BV4" s="555">
        <f t="shared" ref="BV4:BV8" si="10">IF(AI4="",0,V21)+AV4+AZ4+BG4</f>
        <v>0</v>
      </c>
      <c r="BW4" s="449"/>
      <c r="BX4" s="525"/>
      <c r="BY4" s="32" t="str">
        <f>IF(AI4="","",$AB$5)</f>
        <v/>
      </c>
      <c r="BZ4" s="15" t="str">
        <f t="shared" ref="BZ4:BZ8" si="11">IF(AI4="","",IF(D21=$AC$3,"",IF(D21=$AC$5,"",$AB$5)))</f>
        <v/>
      </c>
      <c r="CA4" s="55" t="str">
        <f>IF(BJ4&gt;0,$AB$5,"")</f>
        <v/>
      </c>
      <c r="CB4" s="13"/>
      <c r="CC4" s="13">
        <v>0</v>
      </c>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row>
    <row r="5" spans="1:191" ht="16.5" customHeight="1" x14ac:dyDescent="0.15">
      <c r="B5" s="58" t="s">
        <v>136</v>
      </c>
      <c r="C5" s="119" t="s">
        <v>6</v>
      </c>
      <c r="D5" s="119"/>
      <c r="E5" s="119"/>
      <c r="F5" s="6" t="s">
        <v>131</v>
      </c>
      <c r="G5" s="674" t="s">
        <v>128</v>
      </c>
      <c r="H5" s="674"/>
      <c r="I5" s="674"/>
      <c r="J5" s="674"/>
      <c r="K5" s="674"/>
      <c r="L5" s="674"/>
      <c r="M5" s="674"/>
      <c r="N5" s="674"/>
      <c r="O5" s="674"/>
      <c r="P5" s="674"/>
      <c r="Q5" s="674"/>
      <c r="R5" s="674"/>
      <c r="S5" s="674"/>
      <c r="T5" s="674"/>
      <c r="U5" s="674"/>
      <c r="V5" s="674"/>
      <c r="W5" s="674"/>
      <c r="X5" s="674"/>
      <c r="Y5" s="674"/>
      <c r="Z5" s="673"/>
      <c r="AB5" s="3" t="s">
        <v>52</v>
      </c>
      <c r="AC5" s="1" t="s">
        <v>130</v>
      </c>
      <c r="AI5" s="454" t="str">
        <f>IF(B22=$AB$4,"Ｂ様","")</f>
        <v/>
      </c>
      <c r="AJ5" s="455"/>
      <c r="AK5" s="21" t="str">
        <f t="shared" si="0"/>
        <v>A</v>
      </c>
      <c r="AL5" s="449">
        <f t="shared" si="1"/>
        <v>0</v>
      </c>
      <c r="AM5" s="449"/>
      <c r="AN5" s="449"/>
      <c r="AO5" s="449">
        <f t="shared" ref="AO5:AO8" si="12">(L22*VLOOKUP(AK5,$AB$36:$BA$47,12,FALSE))+((ROUNDDOWN(L22/VLOOKUP(AK5,$AB$36:$BA$47,16,FALSE),VLOOKUP(AK5,$AB$36:$BA$47,19,FALSE)))*(VLOOKUP(AK5,$AB$36:$BA$47,22,FALSE))+(VLOOKUP(AK5,$AB$36:$BA$47,24,FALSE)))</f>
        <v>0</v>
      </c>
      <c r="AP5" s="449"/>
      <c r="AQ5" s="449"/>
      <c r="AR5" s="14" t="str">
        <f t="shared" ref="AR5:AR11" si="13">IF(AO5=0,"",IF(AZ5+BD5=0,"",IF((AO5+AZ5+BD5)&lt;100000,"",$AB$5)))</f>
        <v/>
      </c>
      <c r="AS5" s="536">
        <f t="shared" ref="AS5:AS10" si="14">IF(AR5=$AB$5,IF(AO5&gt;((IF(AO5&gt;100000,100000,AO5)+IF((AZ5+BD5)&gt;100000,100000,AZ5+BD5))-100000),((IF(AO5&gt;100000,100000,AO5)+IF((AZ5+BD5)&gt;100000,100000,AZ5+BD5))-100000),AO5),0)</f>
        <v>0</v>
      </c>
      <c r="AT5" s="537"/>
      <c r="AU5" s="538"/>
      <c r="AV5" s="526">
        <f t="shared" ref="AV5:AV10" si="15">AO5-AS5</f>
        <v>0</v>
      </c>
      <c r="AW5" s="526"/>
      <c r="AX5" s="527"/>
      <c r="AY5" s="19" t="str">
        <f t="shared" si="2"/>
        <v>A</v>
      </c>
      <c r="AZ5" s="526">
        <f t="shared" si="3"/>
        <v>0</v>
      </c>
      <c r="BA5" s="526"/>
      <c r="BB5" s="536"/>
      <c r="BC5" s="40" t="str">
        <f t="shared" si="4"/>
        <v>A</v>
      </c>
      <c r="BD5" s="526">
        <f t="shared" si="5"/>
        <v>0</v>
      </c>
      <c r="BE5" s="526"/>
      <c r="BF5" s="526"/>
      <c r="BG5" s="526">
        <f t="shared" si="6"/>
        <v>0</v>
      </c>
      <c r="BH5" s="526"/>
      <c r="BI5" s="527"/>
      <c r="BJ5" s="554">
        <f t="shared" si="7"/>
        <v>0</v>
      </c>
      <c r="BK5" s="449"/>
      <c r="BL5" s="543"/>
      <c r="BM5" s="610">
        <f t="shared" si="8"/>
        <v>0</v>
      </c>
      <c r="BN5" s="526"/>
      <c r="BO5" s="527"/>
      <c r="BP5" s="544">
        <f t="shared" ref="BP5:BP11" si="16">IF(BZ5=$AB$5,BJ5,0)</f>
        <v>0</v>
      </c>
      <c r="BQ5" s="545"/>
      <c r="BR5" s="545"/>
      <c r="BS5" s="574">
        <f t="shared" si="9"/>
        <v>0</v>
      </c>
      <c r="BT5" s="574"/>
      <c r="BU5" s="575"/>
      <c r="BV5" s="555">
        <f t="shared" si="10"/>
        <v>0</v>
      </c>
      <c r="BW5" s="449"/>
      <c r="BX5" s="525"/>
      <c r="BY5" s="32" t="str">
        <f t="shared" ref="BY5:BY11" si="17">IF(AI5="","",$AB$5)</f>
        <v/>
      </c>
      <c r="BZ5" s="15" t="str">
        <f t="shared" si="11"/>
        <v/>
      </c>
      <c r="CA5" s="34" t="str">
        <f t="shared" ref="CA5:CA11" si="18">IF(BJ5&gt;0,$AB$5,"")</f>
        <v/>
      </c>
      <c r="CB5" s="13"/>
      <c r="CC5" s="13">
        <v>1</v>
      </c>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row>
    <row r="6" spans="1:191" ht="16.5" customHeight="1" thickBot="1" x14ac:dyDescent="0.2">
      <c r="B6" s="58"/>
      <c r="G6" s="672" t="s">
        <v>137</v>
      </c>
      <c r="H6" s="672"/>
      <c r="I6" s="672"/>
      <c r="J6" s="672"/>
      <c r="K6" s="672"/>
      <c r="L6" s="672"/>
      <c r="M6" s="672"/>
      <c r="N6" s="672"/>
      <c r="O6" s="672"/>
      <c r="P6" s="672"/>
      <c r="Q6" s="672"/>
      <c r="R6" s="672"/>
      <c r="S6" s="672"/>
      <c r="T6" s="672"/>
      <c r="U6" s="672"/>
      <c r="V6" s="672"/>
      <c r="W6" s="672"/>
      <c r="X6" s="672"/>
      <c r="Y6" s="672"/>
      <c r="Z6" s="673"/>
      <c r="AB6" s="1" t="s">
        <v>20</v>
      </c>
      <c r="AI6" s="454" t="str">
        <f>IF(B23=$AB$4,"Ｃ様","")</f>
        <v/>
      </c>
      <c r="AJ6" s="455"/>
      <c r="AK6" s="21" t="str">
        <f t="shared" si="0"/>
        <v>A</v>
      </c>
      <c r="AL6" s="449">
        <f t="shared" si="1"/>
        <v>0</v>
      </c>
      <c r="AM6" s="449"/>
      <c r="AN6" s="449"/>
      <c r="AO6" s="449">
        <f t="shared" si="12"/>
        <v>0</v>
      </c>
      <c r="AP6" s="449"/>
      <c r="AQ6" s="449"/>
      <c r="AR6" s="14" t="str">
        <f t="shared" si="13"/>
        <v/>
      </c>
      <c r="AS6" s="536">
        <f t="shared" si="14"/>
        <v>0</v>
      </c>
      <c r="AT6" s="537"/>
      <c r="AU6" s="538"/>
      <c r="AV6" s="526">
        <f t="shared" si="15"/>
        <v>0</v>
      </c>
      <c r="AW6" s="526"/>
      <c r="AX6" s="527"/>
      <c r="AY6" s="19" t="str">
        <f t="shared" si="2"/>
        <v>A</v>
      </c>
      <c r="AZ6" s="526">
        <f t="shared" si="3"/>
        <v>0</v>
      </c>
      <c r="BA6" s="526"/>
      <c r="BB6" s="536"/>
      <c r="BC6" s="40" t="str">
        <f t="shared" si="4"/>
        <v>A</v>
      </c>
      <c r="BD6" s="526">
        <f t="shared" si="5"/>
        <v>0</v>
      </c>
      <c r="BE6" s="526"/>
      <c r="BF6" s="526"/>
      <c r="BG6" s="526">
        <f t="shared" si="6"/>
        <v>0</v>
      </c>
      <c r="BH6" s="526"/>
      <c r="BI6" s="527"/>
      <c r="BJ6" s="554">
        <f t="shared" si="7"/>
        <v>0</v>
      </c>
      <c r="BK6" s="449"/>
      <c r="BL6" s="543"/>
      <c r="BM6" s="610">
        <f t="shared" si="8"/>
        <v>0</v>
      </c>
      <c r="BN6" s="526"/>
      <c r="BO6" s="527"/>
      <c r="BP6" s="544">
        <f t="shared" si="16"/>
        <v>0</v>
      </c>
      <c r="BQ6" s="545"/>
      <c r="BR6" s="545"/>
      <c r="BS6" s="574">
        <f t="shared" si="9"/>
        <v>0</v>
      </c>
      <c r="BT6" s="574"/>
      <c r="BU6" s="575"/>
      <c r="BV6" s="555">
        <f t="shared" si="10"/>
        <v>0</v>
      </c>
      <c r="BW6" s="449"/>
      <c r="BX6" s="525"/>
      <c r="BY6" s="32" t="str">
        <f t="shared" si="17"/>
        <v/>
      </c>
      <c r="BZ6" s="15" t="str">
        <f t="shared" si="11"/>
        <v/>
      </c>
      <c r="CA6" s="34" t="str">
        <f t="shared" si="18"/>
        <v/>
      </c>
      <c r="CB6" s="13"/>
      <c r="CC6" s="13">
        <v>2</v>
      </c>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row>
    <row r="7" spans="1:191" ht="16.5" customHeight="1" x14ac:dyDescent="0.15">
      <c r="B7" s="58" t="s">
        <v>136</v>
      </c>
      <c r="C7" s="1" t="s">
        <v>125</v>
      </c>
      <c r="F7" s="85" t="s">
        <v>131</v>
      </c>
      <c r="G7" s="672" t="s">
        <v>184</v>
      </c>
      <c r="H7" s="672"/>
      <c r="I7" s="672"/>
      <c r="J7" s="672"/>
      <c r="K7" s="672"/>
      <c r="L7" s="672"/>
      <c r="M7" s="672"/>
      <c r="N7" s="672"/>
      <c r="O7" s="672"/>
      <c r="P7" s="672"/>
      <c r="Q7" s="672"/>
      <c r="R7" s="672"/>
      <c r="S7" s="672"/>
      <c r="T7" s="672"/>
      <c r="U7" s="672"/>
      <c r="V7" s="672"/>
      <c r="W7" s="672"/>
      <c r="X7" s="672"/>
      <c r="Y7" s="672"/>
      <c r="Z7" s="673"/>
      <c r="AB7" s="462" t="s">
        <v>12</v>
      </c>
      <c r="AC7" s="491" t="s">
        <v>15</v>
      </c>
      <c r="AD7" s="491"/>
      <c r="AE7" s="456">
        <v>6.5000000000000002E-2</v>
      </c>
      <c r="AF7" s="456"/>
      <c r="AG7" s="457"/>
      <c r="AH7" s="4"/>
      <c r="AI7" s="454" t="str">
        <f>IF(B24=$AB$4,"Ｄ様","")</f>
        <v/>
      </c>
      <c r="AJ7" s="455"/>
      <c r="AK7" s="21" t="str">
        <f t="shared" si="0"/>
        <v>A</v>
      </c>
      <c r="AL7" s="449">
        <f t="shared" si="1"/>
        <v>0</v>
      </c>
      <c r="AM7" s="449"/>
      <c r="AN7" s="449"/>
      <c r="AO7" s="449">
        <f t="shared" si="12"/>
        <v>0</v>
      </c>
      <c r="AP7" s="449"/>
      <c r="AQ7" s="449"/>
      <c r="AR7" s="14" t="str">
        <f t="shared" si="13"/>
        <v/>
      </c>
      <c r="AS7" s="536">
        <f t="shared" si="14"/>
        <v>0</v>
      </c>
      <c r="AT7" s="537"/>
      <c r="AU7" s="538"/>
      <c r="AV7" s="526">
        <f t="shared" si="15"/>
        <v>0</v>
      </c>
      <c r="AW7" s="526"/>
      <c r="AX7" s="527"/>
      <c r="AY7" s="19" t="str">
        <f t="shared" si="2"/>
        <v>A</v>
      </c>
      <c r="AZ7" s="526">
        <f t="shared" si="3"/>
        <v>0</v>
      </c>
      <c r="BA7" s="526"/>
      <c r="BB7" s="536"/>
      <c r="BC7" s="40" t="str">
        <f t="shared" si="4"/>
        <v>A</v>
      </c>
      <c r="BD7" s="526">
        <f t="shared" si="5"/>
        <v>0</v>
      </c>
      <c r="BE7" s="526"/>
      <c r="BF7" s="526"/>
      <c r="BG7" s="526">
        <f t="shared" si="6"/>
        <v>0</v>
      </c>
      <c r="BH7" s="526"/>
      <c r="BI7" s="527"/>
      <c r="BJ7" s="554">
        <f t="shared" si="7"/>
        <v>0</v>
      </c>
      <c r="BK7" s="449"/>
      <c r="BL7" s="543"/>
      <c r="BM7" s="610">
        <f t="shared" si="8"/>
        <v>0</v>
      </c>
      <c r="BN7" s="526"/>
      <c r="BO7" s="527"/>
      <c r="BP7" s="544">
        <f t="shared" si="16"/>
        <v>0</v>
      </c>
      <c r="BQ7" s="545"/>
      <c r="BR7" s="545"/>
      <c r="BS7" s="574">
        <f t="shared" si="9"/>
        <v>0</v>
      </c>
      <c r="BT7" s="574"/>
      <c r="BU7" s="575"/>
      <c r="BV7" s="555">
        <f t="shared" si="10"/>
        <v>0</v>
      </c>
      <c r="BW7" s="449"/>
      <c r="BX7" s="525"/>
      <c r="BY7" s="32" t="str">
        <f t="shared" si="17"/>
        <v/>
      </c>
      <c r="BZ7" s="15" t="str">
        <f t="shared" si="11"/>
        <v/>
      </c>
      <c r="CA7" s="34" t="str">
        <f t="shared" si="18"/>
        <v/>
      </c>
      <c r="CB7" s="13"/>
      <c r="CC7" s="13">
        <v>3</v>
      </c>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row>
    <row r="8" spans="1:191" ht="16.5" customHeight="1" x14ac:dyDescent="0.15">
      <c r="B8" s="58"/>
      <c r="G8" s="384" t="s">
        <v>185</v>
      </c>
      <c r="H8" s="384"/>
      <c r="I8" s="384"/>
      <c r="J8" s="384"/>
      <c r="K8" s="384"/>
      <c r="L8" s="384"/>
      <c r="M8" s="384"/>
      <c r="N8" s="384"/>
      <c r="O8" s="384"/>
      <c r="P8" s="384"/>
      <c r="Q8" s="384"/>
      <c r="R8" s="384"/>
      <c r="S8" s="384"/>
      <c r="T8" s="384"/>
      <c r="U8" s="384"/>
      <c r="V8" s="384"/>
      <c r="W8" s="384"/>
      <c r="X8" s="384"/>
      <c r="Y8" s="384"/>
      <c r="Z8" s="385"/>
      <c r="AB8" s="463"/>
      <c r="AC8" s="492" t="s">
        <v>16</v>
      </c>
      <c r="AD8" s="492"/>
      <c r="AE8" s="458">
        <v>0</v>
      </c>
      <c r="AF8" s="458"/>
      <c r="AG8" s="459"/>
      <c r="AH8" s="4"/>
      <c r="AI8" s="454" t="str">
        <f>IF(B25=$AB$4,"Ｅ様","")</f>
        <v/>
      </c>
      <c r="AJ8" s="455"/>
      <c r="AK8" s="21" t="str">
        <f t="shared" si="0"/>
        <v>A</v>
      </c>
      <c r="AL8" s="449">
        <f t="shared" si="1"/>
        <v>0</v>
      </c>
      <c r="AM8" s="449"/>
      <c r="AN8" s="449"/>
      <c r="AO8" s="449">
        <f t="shared" si="12"/>
        <v>0</v>
      </c>
      <c r="AP8" s="449"/>
      <c r="AQ8" s="449"/>
      <c r="AR8" s="14" t="str">
        <f t="shared" si="13"/>
        <v/>
      </c>
      <c r="AS8" s="536">
        <f t="shared" si="14"/>
        <v>0</v>
      </c>
      <c r="AT8" s="537"/>
      <c r="AU8" s="538"/>
      <c r="AV8" s="526">
        <f t="shared" si="15"/>
        <v>0</v>
      </c>
      <c r="AW8" s="526"/>
      <c r="AX8" s="527"/>
      <c r="AY8" s="19" t="str">
        <f t="shared" si="2"/>
        <v>A</v>
      </c>
      <c r="AZ8" s="526">
        <f t="shared" si="3"/>
        <v>0</v>
      </c>
      <c r="BA8" s="526"/>
      <c r="BB8" s="536"/>
      <c r="BC8" s="40" t="str">
        <f t="shared" si="4"/>
        <v>A</v>
      </c>
      <c r="BD8" s="526">
        <f t="shared" si="5"/>
        <v>0</v>
      </c>
      <c r="BE8" s="526"/>
      <c r="BF8" s="526"/>
      <c r="BG8" s="526">
        <f t="shared" si="6"/>
        <v>0</v>
      </c>
      <c r="BH8" s="526"/>
      <c r="BI8" s="527"/>
      <c r="BJ8" s="554">
        <f t="shared" si="7"/>
        <v>0</v>
      </c>
      <c r="BK8" s="449"/>
      <c r="BL8" s="543"/>
      <c r="BM8" s="610">
        <f t="shared" si="8"/>
        <v>0</v>
      </c>
      <c r="BN8" s="526"/>
      <c r="BO8" s="527"/>
      <c r="BP8" s="544">
        <f t="shared" si="16"/>
        <v>0</v>
      </c>
      <c r="BQ8" s="545"/>
      <c r="BR8" s="545"/>
      <c r="BS8" s="574">
        <f t="shared" si="9"/>
        <v>0</v>
      </c>
      <c r="BT8" s="574"/>
      <c r="BU8" s="575"/>
      <c r="BV8" s="555">
        <f t="shared" si="10"/>
        <v>0</v>
      </c>
      <c r="BW8" s="449"/>
      <c r="BX8" s="525"/>
      <c r="BY8" s="32" t="str">
        <f t="shared" si="17"/>
        <v/>
      </c>
      <c r="BZ8" s="15" t="str">
        <f t="shared" si="11"/>
        <v/>
      </c>
      <c r="CA8" s="34" t="str">
        <f t="shared" si="18"/>
        <v/>
      </c>
      <c r="CB8" s="13"/>
      <c r="CC8" s="13">
        <v>4</v>
      </c>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row>
    <row r="9" spans="1:191" ht="16.5" customHeight="1" x14ac:dyDescent="0.15">
      <c r="B9" s="58"/>
      <c r="G9" s="384"/>
      <c r="H9" s="384"/>
      <c r="I9" s="384"/>
      <c r="J9" s="384"/>
      <c r="K9" s="384"/>
      <c r="L9" s="384"/>
      <c r="M9" s="384"/>
      <c r="N9" s="384"/>
      <c r="O9" s="384"/>
      <c r="P9" s="384"/>
      <c r="Q9" s="384"/>
      <c r="R9" s="384"/>
      <c r="S9" s="384"/>
      <c r="T9" s="384"/>
      <c r="U9" s="384"/>
      <c r="V9" s="384"/>
      <c r="W9" s="384"/>
      <c r="X9" s="384"/>
      <c r="Y9" s="384"/>
      <c r="Z9" s="385"/>
      <c r="AB9" s="463"/>
      <c r="AC9" s="492" t="s">
        <v>17</v>
      </c>
      <c r="AD9" s="492"/>
      <c r="AE9" s="460">
        <v>35000</v>
      </c>
      <c r="AF9" s="460"/>
      <c r="AG9" s="461"/>
      <c r="AH9" s="5"/>
      <c r="AI9" s="454" t="str">
        <f>IF(B26=$AB$4,"Ｆ様","")</f>
        <v/>
      </c>
      <c r="AJ9" s="455"/>
      <c r="AK9" s="21" t="str">
        <f>IF(AI9="",$AB$36,IF(L26=0,$AB$36,IF(L26&lt;$AC$38,$AB$37,IF(L26&lt;$AC$39,$AB$38,IF(L26&lt;$AC$40,$AB$39,IF(L26&lt;$AC$41,$AB$40,IF(L26&lt;$AC$42,$AB$41,IF(L26&lt;$AC$43,$AB$42,IF(L26&lt;$AC$44,$AB$43,IF(L26&lt;$AC$45,$AB$44,IF(L26&lt;$AC$46,$AB$45,IF(L26&lt;$AC$47,$AB$46,$AB$47))))))))))))</f>
        <v>A</v>
      </c>
      <c r="AL9" s="449">
        <f>IF(AI9="",0,L26-AO9)</f>
        <v>0</v>
      </c>
      <c r="AM9" s="449"/>
      <c r="AN9" s="449"/>
      <c r="AO9" s="449">
        <f>(L26*VLOOKUP(AK9,$AB$36:$BA$47,12,FALSE))+((ROUNDDOWN(L26/VLOOKUP(AK9,$AB$36:$BA$47,16,FALSE),VLOOKUP(AK9,$AB$36:$BA$47,19,FALSE)))*(VLOOKUP(AK9,$AB$36:$BA$47,22,FALSE))+(VLOOKUP(AK9,$AB$36:$BA$47,24,FALSE)))</f>
        <v>0</v>
      </c>
      <c r="AP9" s="449"/>
      <c r="AQ9" s="449"/>
      <c r="AR9" s="14" t="str">
        <f t="shared" si="13"/>
        <v/>
      </c>
      <c r="AS9" s="536">
        <f t="shared" si="14"/>
        <v>0</v>
      </c>
      <c r="AT9" s="537"/>
      <c r="AU9" s="538"/>
      <c r="AV9" s="526">
        <f t="shared" si="15"/>
        <v>0</v>
      </c>
      <c r="AW9" s="526"/>
      <c r="AX9" s="527"/>
      <c r="AY9" s="19" t="str">
        <f>IF(AI9="",$BC$42,IF(D26=$AC$5,$BC$42,IF(Q26=0,$BC$42,IF(Q26&lt;$BD$44,$BC$43,IF(Q26&lt;$BD$45,$BC$44,IF(Q26&lt;$BD$46,$BC$45,IF(Q26&lt;$BD$47,$BC$46,IF(Q26&lt;$BD$48,$BC$47,$BC$48))))))))</f>
        <v>A</v>
      </c>
      <c r="AZ9" s="526">
        <f>(Q26*VLOOKUP(AY9,$BC$42:$BW$48,14,FALSE))-VLOOKUP(AY9,$BC$42:$BW$48,18,FALSE)</f>
        <v>0</v>
      </c>
      <c r="BA9" s="526"/>
      <c r="BB9" s="536"/>
      <c r="BC9" s="40" t="str">
        <f>IF(AI9="",$BC$52,IF(D26=$AC$5,IF(Q26=0,$BC$52,IF(Q26&lt;$BD$54,$BC$53,IF(Q26&lt;$BD$55,$BC$54,IF(Q26&lt;$BD$56,$BC$55,IF(Q26&lt;$BD$57,$BC$56,IF(Q26&lt;$BD$58,$BC$57,$BC$58)))))),$BC$52))</f>
        <v>A</v>
      </c>
      <c r="BD9" s="526">
        <f>(Q26*VLOOKUP(BC9,$BC$52:$BW$58,14,FALSE))-VLOOKUP(BC9,$BC$52:$BW$58,18,FALSE)</f>
        <v>0</v>
      </c>
      <c r="BE9" s="526"/>
      <c r="BF9" s="526"/>
      <c r="BG9" s="526">
        <f t="shared" si="6"/>
        <v>0</v>
      </c>
      <c r="BH9" s="526"/>
      <c r="BI9" s="527"/>
      <c r="BJ9" s="554">
        <f>IF(AI9="",0,V26)+AV9+AZ9+BD9</f>
        <v>0</v>
      </c>
      <c r="BK9" s="449"/>
      <c r="BL9" s="543"/>
      <c r="BM9" s="610">
        <f t="shared" si="8"/>
        <v>0</v>
      </c>
      <c r="BN9" s="526"/>
      <c r="BO9" s="527"/>
      <c r="BP9" s="544">
        <f t="shared" si="16"/>
        <v>0</v>
      </c>
      <c r="BQ9" s="545"/>
      <c r="BR9" s="545"/>
      <c r="BS9" s="574">
        <f t="shared" si="9"/>
        <v>0</v>
      </c>
      <c r="BT9" s="574"/>
      <c r="BU9" s="575"/>
      <c r="BV9" s="555">
        <f>IF(AI9="",0,V26)+AV9+AZ9+BG9</f>
        <v>0</v>
      </c>
      <c r="BW9" s="449"/>
      <c r="BX9" s="525"/>
      <c r="BY9" s="32" t="str">
        <f t="shared" si="17"/>
        <v/>
      </c>
      <c r="BZ9" s="15" t="str">
        <f>IF(AI9="","",IF(D26=$AC$3,"",IF(D26=$AC$5,"",$AB$5)))</f>
        <v/>
      </c>
      <c r="CA9" s="34" t="str">
        <f t="shared" si="18"/>
        <v/>
      </c>
      <c r="CB9" s="52"/>
      <c r="CC9" s="13">
        <v>5</v>
      </c>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row>
    <row r="10" spans="1:191" ht="16.5" customHeight="1" x14ac:dyDescent="0.15">
      <c r="B10" s="58"/>
      <c r="G10" s="384"/>
      <c r="H10" s="384"/>
      <c r="I10" s="384"/>
      <c r="J10" s="384"/>
      <c r="K10" s="384"/>
      <c r="L10" s="384"/>
      <c r="M10" s="384"/>
      <c r="N10" s="384"/>
      <c r="O10" s="384"/>
      <c r="P10" s="384"/>
      <c r="Q10" s="384"/>
      <c r="R10" s="384"/>
      <c r="S10" s="384"/>
      <c r="T10" s="384"/>
      <c r="U10" s="384"/>
      <c r="V10" s="384"/>
      <c r="W10" s="384"/>
      <c r="X10" s="384"/>
      <c r="Y10" s="384"/>
      <c r="Z10" s="385"/>
      <c r="AA10" s="51"/>
      <c r="AB10" s="463"/>
      <c r="AC10" s="492" t="s">
        <v>18</v>
      </c>
      <c r="AD10" s="492"/>
      <c r="AE10" s="460">
        <v>0</v>
      </c>
      <c r="AF10" s="460"/>
      <c r="AG10" s="461"/>
      <c r="AH10" s="5"/>
      <c r="AI10" s="454" t="str">
        <f>IF(B27=$AB$4,"Ｇ様","")</f>
        <v/>
      </c>
      <c r="AJ10" s="455"/>
      <c r="AK10" s="21" t="str">
        <f>IF(AI10="",$AB$36,IF(L27=0,$AB$36,IF(L27&lt;$AC$38,$AB$37,IF(L27&lt;$AC$39,$AB$38,IF(L27&lt;$AC$40,$AB$39,IF(L27&lt;$AC$41,$AB$40,IF(L27&lt;$AC$42,$AB$41,IF(L27&lt;$AC$43,$AB$42,IF(L27&lt;$AC$44,$AB$43,IF(L27&lt;$AC$45,$AB$44,IF(L27&lt;$AC$46,$AB$45,IF(L27&lt;$AC$47,$AB$46,$AB$47))))))))))))</f>
        <v>A</v>
      </c>
      <c r="AL10" s="449">
        <f>IF(AI10="",0,L27-AO10)</f>
        <v>0</v>
      </c>
      <c r="AM10" s="449"/>
      <c r="AN10" s="449"/>
      <c r="AO10" s="449">
        <f>(L27*VLOOKUP(AK10,$AB$36:$BA$47,12,FALSE))+((ROUNDDOWN(L27/VLOOKUP(AK10,$AB$36:$BA$47,16,FALSE),VLOOKUP(AK10,$AB$36:$BA$47,19,FALSE)))*(VLOOKUP(AK10,$AB$36:$BA$47,22,FALSE))+(VLOOKUP(AK10,$AB$36:$BA$47,24,FALSE)))</f>
        <v>0</v>
      </c>
      <c r="AP10" s="449"/>
      <c r="AQ10" s="449"/>
      <c r="AR10" s="14" t="str">
        <f t="shared" si="13"/>
        <v/>
      </c>
      <c r="AS10" s="536">
        <f t="shared" si="14"/>
        <v>0</v>
      </c>
      <c r="AT10" s="537"/>
      <c r="AU10" s="538"/>
      <c r="AV10" s="526">
        <f t="shared" si="15"/>
        <v>0</v>
      </c>
      <c r="AW10" s="526"/>
      <c r="AX10" s="527"/>
      <c r="AY10" s="19" t="str">
        <f>IF(AI10="",$BC$42,IF(D27=$AC$5,$BC$42,IF(Q27=0,$BC$42,IF(Q27&lt;$BD$44,$BC$43,IF(Q27&lt;$BD$45,$BC$44,IF(Q27&lt;$BD$46,$BC$45,IF(Q27&lt;$BD$47,$BC$46,IF(Q27&lt;$BD$48,$BC$47,$BC$48))))))))</f>
        <v>A</v>
      </c>
      <c r="AZ10" s="526">
        <f>(Q27*VLOOKUP(AY10,$BC$42:$BW$48,14,FALSE))-VLOOKUP(AY10,$BC$42:$BW$48,18,FALSE)</f>
        <v>0</v>
      </c>
      <c r="BA10" s="526"/>
      <c r="BB10" s="536"/>
      <c r="BC10" s="40" t="str">
        <f>IF(AI10="",$BC$52,IF(D27=$AC$5,IF(Q27=0,$BC$52,IF(Q27&lt;$BD$54,$BC$53,IF(Q27&lt;$BD$55,$BC$54,IF(Q27&lt;$BD$56,$BC$55,IF(Q27&lt;$BD$57,$BC$56,IF(Q27&lt;$BD$58,$BC$57,$BC$58)))))),$BC$52))</f>
        <v>A</v>
      </c>
      <c r="BD10" s="526">
        <f>(Q27*VLOOKUP(BC10,$BC$52:$BW$58,14,FALSE))-VLOOKUP(BC10,$BC$52:$BW$58,18,FALSE)</f>
        <v>0</v>
      </c>
      <c r="BE10" s="526"/>
      <c r="BF10" s="526"/>
      <c r="BG10" s="526">
        <f t="shared" si="6"/>
        <v>0</v>
      </c>
      <c r="BH10" s="526"/>
      <c r="BI10" s="527"/>
      <c r="BJ10" s="554">
        <f>IF(AI10="",0,V27)+AV10+AZ10+BD10</f>
        <v>0</v>
      </c>
      <c r="BK10" s="449"/>
      <c r="BL10" s="543"/>
      <c r="BM10" s="610">
        <f t="shared" si="8"/>
        <v>0</v>
      </c>
      <c r="BN10" s="526"/>
      <c r="BO10" s="527"/>
      <c r="BP10" s="544">
        <f t="shared" si="16"/>
        <v>0</v>
      </c>
      <c r="BQ10" s="545"/>
      <c r="BR10" s="545"/>
      <c r="BS10" s="574">
        <f t="shared" si="9"/>
        <v>0</v>
      </c>
      <c r="BT10" s="574"/>
      <c r="BU10" s="575"/>
      <c r="BV10" s="555">
        <f>IF(AI10="",0,V27)+AV10+AZ10+BG10</f>
        <v>0</v>
      </c>
      <c r="BW10" s="449"/>
      <c r="BX10" s="525"/>
      <c r="BY10" s="32" t="str">
        <f t="shared" si="17"/>
        <v/>
      </c>
      <c r="BZ10" s="15" t="str">
        <f>IF(AI10="","",IF(D27=$AC$3,"",IF(D27=$AC$5,"",$AB$5)))</f>
        <v/>
      </c>
      <c r="CA10" s="34" t="str">
        <f t="shared" si="18"/>
        <v/>
      </c>
      <c r="CB10" s="13"/>
      <c r="CC10" s="13">
        <v>6</v>
      </c>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row>
    <row r="11" spans="1:191" ht="16.5" customHeight="1" thickBot="1" x14ac:dyDescent="0.2">
      <c r="B11" s="58" t="s">
        <v>136</v>
      </c>
      <c r="C11" s="1" t="s">
        <v>5</v>
      </c>
      <c r="F11" s="85" t="s">
        <v>131</v>
      </c>
      <c r="G11" s="672" t="s">
        <v>127</v>
      </c>
      <c r="H11" s="672"/>
      <c r="I11" s="672"/>
      <c r="J11" s="672"/>
      <c r="K11" s="672"/>
      <c r="L11" s="672"/>
      <c r="M11" s="672"/>
      <c r="N11" s="672"/>
      <c r="O11" s="672"/>
      <c r="P11" s="672"/>
      <c r="Q11" s="672"/>
      <c r="R11" s="672"/>
      <c r="S11" s="672"/>
      <c r="T11" s="672"/>
      <c r="U11" s="672"/>
      <c r="V11" s="672"/>
      <c r="W11" s="672"/>
      <c r="X11" s="672"/>
      <c r="Y11" s="672"/>
      <c r="Z11" s="673"/>
      <c r="AB11" s="464"/>
      <c r="AC11" s="496" t="s">
        <v>19</v>
      </c>
      <c r="AD11" s="496"/>
      <c r="AE11" s="483">
        <v>650000</v>
      </c>
      <c r="AF11" s="483"/>
      <c r="AG11" s="484"/>
      <c r="AH11" s="5"/>
      <c r="AI11" s="473" t="str">
        <f>IF(B28=$AB$4,"Ｈ様","")</f>
        <v/>
      </c>
      <c r="AJ11" s="474"/>
      <c r="AK11" s="21" t="str">
        <f>IF(AI11="",$AB$36,IF(L28=0,$AB$36,IF(L28&lt;$AC$38,$AB$37,IF(L28&lt;$AC$39,$AB$38,IF(L28&lt;$AC$40,$AB$39,IF(L28&lt;$AC$41,$AB$40,IF(L28&lt;$AC$42,$AB$41,IF(L28&lt;$AC$43,$AB$42,IF(L28&lt;$AC$44,$AB$43,IF(L28&lt;$AC$45,$AB$44,IF(L28&lt;$AC$46,$AB$45,IF(L28&lt;$AC$47,$AB$46,$AB$47))))))))))))</f>
        <v>A</v>
      </c>
      <c r="AL11" s="449">
        <f>IF(AI11="",0,L28-AO11)</f>
        <v>0</v>
      </c>
      <c r="AM11" s="449"/>
      <c r="AN11" s="449"/>
      <c r="AO11" s="449">
        <f>(L28*VLOOKUP(AK11,$AB$36:$BA$47,12,FALSE))+((ROUNDDOWN(L28/VLOOKUP(AK11,$AB$36:$BA$47,16,FALSE),VLOOKUP(AK11,$AB$36:$BA$47,19,FALSE)))*(VLOOKUP(AK11,$AB$36:$BA$47,22,FALSE))+(VLOOKUP(AK11,$AB$36:$BA$47,24,FALSE)))</f>
        <v>0</v>
      </c>
      <c r="AP11" s="449"/>
      <c r="AQ11" s="449"/>
      <c r="AR11" s="22" t="str">
        <f t="shared" si="13"/>
        <v/>
      </c>
      <c r="AS11" s="539">
        <f>IF(AR11=$AB$5,IF(AO11&gt;((IF(AO11&gt;100000,100000,AO11)+IF((AZ11+BD11)&gt;100000,100000,AZ11+BD11))-100000),((IF(AO11&gt;100000,100000,AO11)+IF((AZ11+BD11)&gt;100000,100000,AZ11+BD11))-100000),AO11),0)</f>
        <v>0</v>
      </c>
      <c r="AT11" s="540"/>
      <c r="AU11" s="541"/>
      <c r="AV11" s="528">
        <f>AO11-AS11</f>
        <v>0</v>
      </c>
      <c r="AW11" s="528"/>
      <c r="AX11" s="529"/>
      <c r="AY11" s="23" t="str">
        <f>IF(AI11="",$BC$42,IF(D28=$AC$5,$BC$42,IF(Q28=0,$BC$42,IF(Q28&lt;$BD$44,$BC$43,IF(Q28&lt;$BD$45,$BC$44,IF(Q28&lt;$BD$46,$BC$45,IF(Q28&lt;$BD$47,$BC$46,IF(Q28&lt;$BD$48,$BC$47,$BC$48))))))))</f>
        <v>A</v>
      </c>
      <c r="AZ11" s="528">
        <f>(Q28*VLOOKUP(AY11,$BC$42:$BW$48,14,FALSE))-VLOOKUP(AY11,$BC$42:$BW$48,18,FALSE)</f>
        <v>0</v>
      </c>
      <c r="BA11" s="528"/>
      <c r="BB11" s="614"/>
      <c r="BC11" s="41" t="str">
        <f>IF(AI11="",$BC$52,IF(D28=$AC$5,IF(Q28=0,$BC$52,IF(Q28&lt;$BD$54,$BC$53,IF(Q28&lt;$BD$55,$BC$54,IF(Q28&lt;$BD$56,$BC$55,IF(Q28&lt;$BD$57,$BC$56,IF(Q28&lt;$BD$58,$BC$57,$BC$58)))))),$BC$52))</f>
        <v>A</v>
      </c>
      <c r="BD11" s="528">
        <f>(Q28*VLOOKUP(BC11,$BC$52:$BW$58,14,FALSE))-VLOOKUP(BC11,$BC$52:$BW$58,18,FALSE)</f>
        <v>0</v>
      </c>
      <c r="BE11" s="528"/>
      <c r="BF11" s="528"/>
      <c r="BG11" s="528">
        <f t="shared" si="6"/>
        <v>0</v>
      </c>
      <c r="BH11" s="528"/>
      <c r="BI11" s="529"/>
      <c r="BJ11" s="554">
        <f>IF(AI11="",0,V28)+AV11+AZ11+BD11</f>
        <v>0</v>
      </c>
      <c r="BK11" s="449"/>
      <c r="BL11" s="543"/>
      <c r="BM11" s="588">
        <f t="shared" si="8"/>
        <v>0</v>
      </c>
      <c r="BN11" s="589"/>
      <c r="BO11" s="590"/>
      <c r="BP11" s="544">
        <f t="shared" si="16"/>
        <v>0</v>
      </c>
      <c r="BQ11" s="545"/>
      <c r="BR11" s="545"/>
      <c r="BS11" s="598">
        <f t="shared" si="9"/>
        <v>0</v>
      </c>
      <c r="BT11" s="598"/>
      <c r="BU11" s="599"/>
      <c r="BV11" s="555">
        <f>IF(AI11="",0,V28)+AV11+AZ11+BG11</f>
        <v>0</v>
      </c>
      <c r="BW11" s="449"/>
      <c r="BX11" s="525"/>
      <c r="BY11" s="32" t="str">
        <f t="shared" si="17"/>
        <v/>
      </c>
      <c r="BZ11" s="15" t="str">
        <f>IF(AI11="","",IF(D28=$AC$3,"",IF(D28=$AC$5,"",$AB$5)))</f>
        <v/>
      </c>
      <c r="CA11" s="56" t="str">
        <f t="shared" si="18"/>
        <v/>
      </c>
      <c r="CB11" s="13"/>
      <c r="CC11" s="13">
        <v>7</v>
      </c>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row>
    <row r="12" spans="1:191" ht="16.5" customHeight="1" thickTop="1" thickBot="1" x14ac:dyDescent="0.2">
      <c r="B12" s="58" t="s">
        <v>136</v>
      </c>
      <c r="C12" s="1" t="s">
        <v>7</v>
      </c>
      <c r="G12" s="675" t="s">
        <v>186</v>
      </c>
      <c r="H12" s="672"/>
      <c r="I12" s="672"/>
      <c r="J12" s="672"/>
      <c r="K12" s="672"/>
      <c r="L12" s="672"/>
      <c r="M12" s="672"/>
      <c r="N12" s="672"/>
      <c r="O12" s="672"/>
      <c r="P12" s="672"/>
      <c r="Q12" s="672"/>
      <c r="R12" s="672"/>
      <c r="S12" s="672"/>
      <c r="T12" s="672"/>
      <c r="U12" s="672"/>
      <c r="V12" s="672"/>
      <c r="W12" s="672"/>
      <c r="X12" s="672"/>
      <c r="Y12" s="672"/>
      <c r="Z12" s="673"/>
      <c r="AB12" s="462" t="s">
        <v>13</v>
      </c>
      <c r="AC12" s="491" t="s">
        <v>15</v>
      </c>
      <c r="AD12" s="491"/>
      <c r="AE12" s="456">
        <v>2.7E-2</v>
      </c>
      <c r="AF12" s="456"/>
      <c r="AG12" s="457"/>
      <c r="AH12" s="4"/>
      <c r="AI12" s="485" t="s">
        <v>58</v>
      </c>
      <c r="AJ12" s="486"/>
      <c r="AK12" s="24"/>
      <c r="AL12" s="450"/>
      <c r="AM12" s="450"/>
      <c r="AN12" s="450"/>
      <c r="AO12" s="450"/>
      <c r="AP12" s="450"/>
      <c r="AQ12" s="450"/>
      <c r="AR12" s="25"/>
      <c r="AS12" s="523"/>
      <c r="AT12" s="523"/>
      <c r="AU12" s="523"/>
      <c r="AV12" s="523">
        <f>SUM(AV4:AX11)</f>
        <v>0</v>
      </c>
      <c r="AW12" s="523"/>
      <c r="AX12" s="530"/>
      <c r="AY12" s="26"/>
      <c r="AZ12" s="523">
        <f>SUM(AZ4:BB11)</f>
        <v>0</v>
      </c>
      <c r="BA12" s="523"/>
      <c r="BB12" s="612"/>
      <c r="BC12" s="42"/>
      <c r="BD12" s="523">
        <f>SUM(BD4:BF11)</f>
        <v>0</v>
      </c>
      <c r="BE12" s="523"/>
      <c r="BF12" s="523"/>
      <c r="BG12" s="523">
        <f>SUM(BG4:BI11)</f>
        <v>0</v>
      </c>
      <c r="BH12" s="523"/>
      <c r="BI12" s="530"/>
      <c r="BJ12" s="611">
        <f>SUM(BJ4:BL11)</f>
        <v>0</v>
      </c>
      <c r="BK12" s="523"/>
      <c r="BL12" s="612"/>
      <c r="BM12" s="591">
        <f>SUM(BM4:BO11)</f>
        <v>0</v>
      </c>
      <c r="BN12" s="523"/>
      <c r="BO12" s="530"/>
      <c r="BP12" s="586">
        <f>SUM(BP4:BR11)</f>
        <v>0</v>
      </c>
      <c r="BQ12" s="587"/>
      <c r="BR12" s="587"/>
      <c r="BS12" s="587">
        <f>SUM(BS4:BU11)</f>
        <v>0</v>
      </c>
      <c r="BT12" s="587"/>
      <c r="BU12" s="600"/>
      <c r="BV12" s="606">
        <f>SUM(BV4:BX11)</f>
        <v>0</v>
      </c>
      <c r="BW12" s="523"/>
      <c r="BX12" s="530"/>
      <c r="BY12" s="35">
        <f>COUNTIF(BY4:BY11,"✔")</f>
        <v>0</v>
      </c>
      <c r="BZ12" s="33">
        <f>COUNTIF(BZ4:BZ11,"✔")</f>
        <v>0</v>
      </c>
      <c r="CA12" s="36">
        <f>COUNTIF(CA4:CA11,"✔")</f>
        <v>0</v>
      </c>
      <c r="CB12" s="13"/>
      <c r="CC12" s="13">
        <v>8</v>
      </c>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row>
    <row r="13" spans="1:191" ht="16.5" customHeight="1" thickBot="1" x14ac:dyDescent="0.2">
      <c r="B13" s="58" t="s">
        <v>136</v>
      </c>
      <c r="C13" s="1" t="s">
        <v>8</v>
      </c>
      <c r="G13" s="672"/>
      <c r="H13" s="672"/>
      <c r="I13" s="672"/>
      <c r="J13" s="672"/>
      <c r="K13" s="672"/>
      <c r="L13" s="672"/>
      <c r="M13" s="672"/>
      <c r="N13" s="672"/>
      <c r="O13" s="672"/>
      <c r="P13" s="672"/>
      <c r="Q13" s="672"/>
      <c r="R13" s="672"/>
      <c r="S13" s="672"/>
      <c r="T13" s="672"/>
      <c r="U13" s="672"/>
      <c r="V13" s="672"/>
      <c r="W13" s="672"/>
      <c r="X13" s="672"/>
      <c r="Y13" s="672"/>
      <c r="Z13" s="673"/>
      <c r="AB13" s="463"/>
      <c r="AC13" s="492" t="s">
        <v>17</v>
      </c>
      <c r="AD13" s="492"/>
      <c r="AE13" s="460">
        <v>16000</v>
      </c>
      <c r="AF13" s="460"/>
      <c r="AG13" s="461"/>
      <c r="AH13" s="5"/>
      <c r="AI13" s="487" t="str">
        <f>IF(B34=$AB$4,"擬主","")</f>
        <v/>
      </c>
      <c r="AJ13" s="488"/>
      <c r="AK13" s="21" t="str">
        <f>IF(AI13="",$AB$36,IF(L34=0,$AB$36,IF(L34&lt;$AC$38,$AB$37,IF(L34&lt;$AC$39,$AB$38,IF(L34&lt;$AC$40,$AB$39,IF(L34&lt;$AC$41,$AB$40,IF(L34&lt;$AC$42,$AB$41,IF(L34&lt;$AC$43,$AB$42,IF(L34&lt;$AC$44,$AB$43,IF(L34&lt;$AC$45,$AB$44,IF(L34&lt;$AC$46,$AB$45,IF(L34&lt;$AC$47,$AB$46,$AB$47))))))))))))</f>
        <v>A</v>
      </c>
      <c r="AL13" s="449">
        <f>IF(AI13="",0,L34-AO13)</f>
        <v>0</v>
      </c>
      <c r="AM13" s="449"/>
      <c r="AN13" s="449"/>
      <c r="AO13" s="449">
        <f>(L34*VLOOKUP(AK13,$AB$36:$BA$47,12,FALSE))+((ROUNDDOWN(L34/VLOOKUP(AK13,$AB$36:$BA$47,16,FALSE),VLOOKUP(AK13,$AB$36:$BA$47,19,FALSE)))*(VLOOKUP(AK13,$AB$36:$BA$47,22,FALSE)))+(VLOOKUP(AK13,$AB$36:$BA$47,24,FALSE))</f>
        <v>0</v>
      </c>
      <c r="AP13" s="449"/>
      <c r="AQ13" s="449"/>
      <c r="AR13" s="27" t="str">
        <f>IF(AO13=0,"",IF(AZ13+BD13=0,"",IF((AO13+AZ13+BD13)&lt;100000,"",$AB$5)))</f>
        <v/>
      </c>
      <c r="AS13" s="539">
        <f>IF(AR13=$AB$5,IF(AO13&gt;((IF(AO13&gt;100000,100000,AO13)+IF((AZ13+BD13)&gt;100000,100000,AZ13+BD13))-100000),((IF(AO13&gt;100000,100000,AO13)+IF((AZ13+BD13)&gt;100000,100000,AZ13+BD13))-100000),AO13),0)</f>
        <v>0</v>
      </c>
      <c r="AT13" s="540"/>
      <c r="AU13" s="541"/>
      <c r="AV13" s="531">
        <f>AO13-AS13</f>
        <v>0</v>
      </c>
      <c r="AW13" s="531"/>
      <c r="AX13" s="532"/>
      <c r="AY13" s="28" t="str">
        <f>IF(AI13="",$BC$42,IF(E34=$AC$52,$BC$42,IF(Q34=0,$BC$42,IF(Q34&lt;$BD$44,$BC$43,IF(Q34&lt;$BD$45,$BC$44,IF(Q34&lt;$BD$46,$BC$45,IF(Q34&lt;$BD$47,$BC$46,IF(Q34&lt;$BD$48,$BC$47,$BC$48))))))))</f>
        <v>A</v>
      </c>
      <c r="AZ13" s="531">
        <f>(Q34*VLOOKUP(AY13,$BC$42:$BW$48,14,FALSE))-VLOOKUP(AY13,$BC$42:$BW$48,18,FALSE)</f>
        <v>0</v>
      </c>
      <c r="BA13" s="531"/>
      <c r="BB13" s="613"/>
      <c r="BC13" s="43" t="str">
        <f>IF(AI13="",$BC$52,IF(E34=$AC$52,IF(Q34=0,$BC$52,IF(Q34&lt;$BD$54,$BC$53,IF(Q34&lt;$BD$55,$BC$54,IF(Q34&lt;$BD$56,$BC$55,IF(Q34&lt;$BD$57,$BC$56,IF(Q34&lt;$BD$58,$BC$57,$BC$58)))))),$BC$52))</f>
        <v>A</v>
      </c>
      <c r="BD13" s="531">
        <f>(Q34*VLOOKUP(BC13,$BC$52:$BW$58,14,FALSE))-VLOOKUP(BC13,$BC$52:$BW$58,18,FALSE)</f>
        <v>0</v>
      </c>
      <c r="BE13" s="531"/>
      <c r="BF13" s="531"/>
      <c r="BG13" s="531">
        <f>IF(BD13-150000&lt;0,0,BD13-150000)</f>
        <v>0</v>
      </c>
      <c r="BH13" s="531"/>
      <c r="BI13" s="532"/>
      <c r="BJ13" s="554">
        <f>IF(AI13="",0,V34)+AV13+AZ13+BD13</f>
        <v>0</v>
      </c>
      <c r="BK13" s="449"/>
      <c r="BL13" s="543"/>
      <c r="BM13" s="592">
        <f>IF(BJ13-$AE$19&lt;0,0,BJ13-$AE$19)</f>
        <v>0</v>
      </c>
      <c r="BN13" s="593"/>
      <c r="BO13" s="594"/>
      <c r="BP13" s="544">
        <f>IF(BZ13=$AB$5,BJ13,0)</f>
        <v>0</v>
      </c>
      <c r="BQ13" s="545"/>
      <c r="BR13" s="545"/>
      <c r="BS13" s="601">
        <f>IF(BP13-$AE$19&lt;0,0,BP13-$AE$19)</f>
        <v>0</v>
      </c>
      <c r="BT13" s="601"/>
      <c r="BU13" s="602"/>
      <c r="BV13" s="555">
        <f>IF(AI13="",0,V34)+AV13+AZ13+BG13</f>
        <v>0</v>
      </c>
      <c r="BW13" s="449"/>
      <c r="BX13" s="525"/>
      <c r="BY13" s="37" t="str">
        <f>IF(AI13="","",$AB$5)</f>
        <v/>
      </c>
      <c r="BZ13" s="15" t="str">
        <f>IF(AI13="","",IF(E34=$AC$50,"",IF(E34=$AC$52,"",$AB$5)))</f>
        <v/>
      </c>
      <c r="CA13" s="34" t="str">
        <f>IF(BJ13&gt;0,$AB$5,"")</f>
        <v/>
      </c>
      <c r="CB13" s="13"/>
      <c r="CC13" s="13">
        <v>9</v>
      </c>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row>
    <row r="14" spans="1:191" ht="16.5" customHeight="1" thickTop="1" thickBot="1" x14ac:dyDescent="0.2">
      <c r="B14" s="58" t="s">
        <v>136</v>
      </c>
      <c r="C14" s="1" t="s">
        <v>129</v>
      </c>
      <c r="G14" s="672"/>
      <c r="H14" s="672"/>
      <c r="I14" s="672"/>
      <c r="J14" s="672"/>
      <c r="K14" s="672"/>
      <c r="L14" s="672"/>
      <c r="M14" s="672"/>
      <c r="N14" s="672"/>
      <c r="O14" s="672"/>
      <c r="P14" s="672"/>
      <c r="Q14" s="672"/>
      <c r="R14" s="672"/>
      <c r="S14" s="672"/>
      <c r="T14" s="672"/>
      <c r="U14" s="672"/>
      <c r="V14" s="672"/>
      <c r="W14" s="672"/>
      <c r="X14" s="672"/>
      <c r="Y14" s="672"/>
      <c r="Z14" s="673"/>
      <c r="AB14" s="464"/>
      <c r="AC14" s="496" t="s">
        <v>19</v>
      </c>
      <c r="AD14" s="496"/>
      <c r="AE14" s="483">
        <v>220000</v>
      </c>
      <c r="AF14" s="483"/>
      <c r="AG14" s="484"/>
      <c r="AH14" s="5"/>
      <c r="AI14" s="489" t="s">
        <v>58</v>
      </c>
      <c r="AJ14" s="490"/>
      <c r="AK14" s="29"/>
      <c r="AL14" s="450"/>
      <c r="AM14" s="450"/>
      <c r="AN14" s="450"/>
      <c r="AO14" s="450"/>
      <c r="AP14" s="450"/>
      <c r="AQ14" s="450"/>
      <c r="AR14" s="30"/>
      <c r="AS14" s="523"/>
      <c r="AT14" s="523"/>
      <c r="AU14" s="523"/>
      <c r="AV14" s="523">
        <f>SUM(AV12:AX13)</f>
        <v>0</v>
      </c>
      <c r="AW14" s="523"/>
      <c r="AX14" s="530"/>
      <c r="AY14" s="31"/>
      <c r="AZ14" s="523">
        <f>SUM(AZ12:BB13)</f>
        <v>0</v>
      </c>
      <c r="BA14" s="523"/>
      <c r="BB14" s="612"/>
      <c r="BC14" s="29"/>
      <c r="BD14" s="523">
        <f>SUM(BD12:BF13)</f>
        <v>0</v>
      </c>
      <c r="BE14" s="523"/>
      <c r="BF14" s="523"/>
      <c r="BG14" s="523">
        <f>SUM(BG12:BI13)</f>
        <v>0</v>
      </c>
      <c r="BH14" s="523"/>
      <c r="BI14" s="530"/>
      <c r="BJ14" s="611">
        <f>SUM(BJ12:BL13)</f>
        <v>0</v>
      </c>
      <c r="BK14" s="523"/>
      <c r="BL14" s="612"/>
      <c r="BM14" s="595">
        <f>SUM(BM12:BO13)</f>
        <v>0</v>
      </c>
      <c r="BN14" s="596"/>
      <c r="BO14" s="597"/>
      <c r="BP14" s="586">
        <f>SUM(BP12:BR13)</f>
        <v>0</v>
      </c>
      <c r="BQ14" s="587"/>
      <c r="BR14" s="587"/>
      <c r="BS14" s="603">
        <f>SUM(BS12:BU13)</f>
        <v>0</v>
      </c>
      <c r="BT14" s="603"/>
      <c r="BU14" s="604"/>
      <c r="BV14" s="606">
        <f>SUM(BV12:BX13)</f>
        <v>0</v>
      </c>
      <c r="BW14" s="523"/>
      <c r="BX14" s="530"/>
      <c r="BY14" s="86">
        <f>COUNTIF(BY13,"✔")+BY12</f>
        <v>0</v>
      </c>
      <c r="BZ14" s="99">
        <f>BZ12</f>
        <v>0</v>
      </c>
      <c r="CA14" s="38">
        <f>COUNTIF(CA13,"✔")+CA12</f>
        <v>0</v>
      </c>
      <c r="CC14" s="13">
        <v>10</v>
      </c>
    </row>
    <row r="15" spans="1:191" ht="16.5" customHeight="1" thickBot="1" x14ac:dyDescent="0.2">
      <c r="B15" s="58"/>
      <c r="C15" s="93"/>
      <c r="D15" s="93"/>
      <c r="E15" s="93"/>
      <c r="F15" s="98"/>
      <c r="G15" s="92"/>
      <c r="H15" s="97"/>
      <c r="I15" s="97"/>
      <c r="J15" s="97"/>
      <c r="K15" s="97"/>
      <c r="L15" s="97"/>
      <c r="M15" s="97"/>
      <c r="N15" s="97"/>
      <c r="O15" s="97"/>
      <c r="P15" s="97"/>
      <c r="Q15" s="97"/>
      <c r="R15" s="97"/>
      <c r="S15" s="97"/>
      <c r="T15" s="97"/>
      <c r="U15" s="97"/>
      <c r="V15" s="97"/>
      <c r="W15" s="97"/>
      <c r="X15" s="97"/>
      <c r="Y15" s="97"/>
      <c r="Z15" s="122"/>
      <c r="AB15" s="467" t="s">
        <v>14</v>
      </c>
      <c r="AC15" s="100" t="s">
        <v>15</v>
      </c>
      <c r="AD15" s="100"/>
      <c r="AE15" s="470">
        <v>2.3E-2</v>
      </c>
      <c r="AF15" s="471"/>
      <c r="AG15" s="472"/>
      <c r="AH15" s="4"/>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13">
        <v>11</v>
      </c>
      <c r="CD15" s="93"/>
      <c r="CE15" s="93"/>
      <c r="CF15" s="93"/>
      <c r="CG15" s="93"/>
    </row>
    <row r="16" spans="1:191" ht="16.5" customHeight="1" thickBot="1" x14ac:dyDescent="0.2">
      <c r="B16" s="58"/>
      <c r="C16" s="388" t="s">
        <v>139</v>
      </c>
      <c r="D16" s="388"/>
      <c r="E16" s="388"/>
      <c r="F16" s="388"/>
      <c r="G16" s="388"/>
      <c r="H16" s="388"/>
      <c r="I16" s="388"/>
      <c r="J16" s="388"/>
      <c r="K16" s="388"/>
      <c r="L16" s="388"/>
      <c r="M16" s="388"/>
      <c r="N16" s="388"/>
      <c r="O16" s="388"/>
      <c r="P16" s="388"/>
      <c r="Q16" s="388"/>
      <c r="R16" s="388"/>
      <c r="S16" s="388"/>
      <c r="T16" s="388"/>
      <c r="U16" s="388"/>
      <c r="V16" s="388"/>
      <c r="W16" s="388"/>
      <c r="X16" s="388"/>
      <c r="Y16" s="388"/>
      <c r="Z16" s="389"/>
      <c r="AA16" s="93"/>
      <c r="AB16" s="468"/>
      <c r="AC16" s="101" t="s">
        <v>17</v>
      </c>
      <c r="AD16" s="101"/>
      <c r="AE16" s="493">
        <v>16000</v>
      </c>
      <c r="AF16" s="494"/>
      <c r="AG16" s="495"/>
      <c r="AH16" s="5"/>
      <c r="AI16" s="503" t="s">
        <v>71</v>
      </c>
      <c r="AJ16" s="391"/>
      <c r="AK16" s="391"/>
      <c r="AL16" s="391"/>
      <c r="AM16" s="391"/>
      <c r="AN16" s="504"/>
      <c r="AO16" s="115" t="s">
        <v>72</v>
      </c>
      <c r="AP16" s="111"/>
      <c r="AQ16" s="111"/>
      <c r="AR16" s="111"/>
      <c r="AS16" s="111"/>
      <c r="AT16" s="111"/>
      <c r="AU16" s="111"/>
      <c r="AV16" s="111"/>
      <c r="AW16" s="111"/>
      <c r="AX16" s="111"/>
      <c r="AY16" s="116"/>
      <c r="AZ16" s="398" t="s">
        <v>73</v>
      </c>
      <c r="BA16" s="392"/>
      <c r="BB16" s="390" t="s">
        <v>76</v>
      </c>
      <c r="BC16" s="391"/>
      <c r="BD16" s="392"/>
      <c r="BE16" s="106" t="s">
        <v>77</v>
      </c>
      <c r="BF16" s="106"/>
      <c r="BG16" s="106"/>
      <c r="BH16" s="106" t="s">
        <v>78</v>
      </c>
      <c r="BI16" s="106"/>
      <c r="BJ16" s="106"/>
      <c r="BK16" s="106" t="s">
        <v>79</v>
      </c>
      <c r="BL16" s="106"/>
      <c r="BM16" s="107"/>
      <c r="BN16" s="114" t="s">
        <v>80</v>
      </c>
      <c r="BO16" s="106"/>
      <c r="BP16" s="106"/>
      <c r="BQ16" s="106" t="s">
        <v>81</v>
      </c>
      <c r="BR16" s="106"/>
      <c r="BS16" s="107"/>
      <c r="BT16" s="103" t="s">
        <v>90</v>
      </c>
      <c r="BU16" s="104"/>
      <c r="BV16" s="105"/>
      <c r="BW16" s="93"/>
      <c r="BX16" s="307" t="s">
        <v>91</v>
      </c>
      <c r="BY16" s="308"/>
      <c r="BZ16" s="308"/>
      <c r="CA16" s="309"/>
      <c r="CB16" s="93"/>
      <c r="CC16" s="13">
        <v>12</v>
      </c>
      <c r="CD16" s="93"/>
      <c r="CE16" s="93"/>
      <c r="CF16" s="93"/>
      <c r="CG16" s="93"/>
    </row>
    <row r="17" spans="2:85" ht="16.5" customHeight="1" thickBot="1" x14ac:dyDescent="0.2">
      <c r="B17" s="58"/>
      <c r="C17" s="676" t="s">
        <v>140</v>
      </c>
      <c r="D17" s="676"/>
      <c r="E17" s="676"/>
      <c r="F17" s="676"/>
      <c r="G17" s="676"/>
      <c r="H17" s="676"/>
      <c r="I17" s="676"/>
      <c r="J17" s="676"/>
      <c r="K17" s="676"/>
      <c r="L17" s="676"/>
      <c r="M17" s="676"/>
      <c r="N17" s="676"/>
      <c r="O17" s="676"/>
      <c r="P17" s="676"/>
      <c r="Q17" s="676"/>
      <c r="R17" s="676"/>
      <c r="S17" s="676"/>
      <c r="T17" s="676"/>
      <c r="U17" s="676"/>
      <c r="V17" s="676"/>
      <c r="W17" s="676"/>
      <c r="X17" s="676"/>
      <c r="Y17" s="676"/>
      <c r="Z17" s="677"/>
      <c r="AA17" s="93"/>
      <c r="AB17" s="469"/>
      <c r="AC17" s="102" t="s">
        <v>19</v>
      </c>
      <c r="AD17" s="102"/>
      <c r="AE17" s="500">
        <v>170000</v>
      </c>
      <c r="AF17" s="501"/>
      <c r="AG17" s="502"/>
      <c r="AH17" s="5"/>
      <c r="AI17" s="505" t="s">
        <v>66</v>
      </c>
      <c r="AJ17" s="400"/>
      <c r="AK17" s="400"/>
      <c r="AL17" s="400"/>
      <c r="AM17" s="400"/>
      <c r="AN17" s="401"/>
      <c r="AO17" s="396" t="s">
        <v>70</v>
      </c>
      <c r="AP17" s="400"/>
      <c r="AQ17" s="400"/>
      <c r="AR17" s="400"/>
      <c r="AS17" s="400"/>
      <c r="AT17" s="271">
        <f>$AE$19+(100000*($CA$14-1))</f>
        <v>330000</v>
      </c>
      <c r="AU17" s="271"/>
      <c r="AV17" s="271"/>
      <c r="AW17" s="271"/>
      <c r="AX17" s="400" t="s">
        <v>69</v>
      </c>
      <c r="AY17" s="401"/>
      <c r="AZ17" s="396" t="str">
        <f>IF($BV$14&lt;=$AT$17,$AB$5,"")</f>
        <v>✔</v>
      </c>
      <c r="BA17" s="397"/>
      <c r="BB17" s="270">
        <f>IF(AZ17=$AB$5,ROUNDDOWN($AE$9-($AE$9*0.7),0),"")</f>
        <v>10500</v>
      </c>
      <c r="BC17" s="271"/>
      <c r="BD17" s="284"/>
      <c r="BE17" s="270">
        <f>IF(AZ17=$AB$5,ROUNDDOWN($AE$10-($AE$10*0.7),0),"")</f>
        <v>0</v>
      </c>
      <c r="BF17" s="271"/>
      <c r="BG17" s="284"/>
      <c r="BH17" s="270">
        <f>IF(AZ17=$AB$5,ROUNDDOWN($AE$13-($AE$13*0.7),0),"")</f>
        <v>4800</v>
      </c>
      <c r="BI17" s="271"/>
      <c r="BJ17" s="284"/>
      <c r="BK17" s="270">
        <f>IF(AZ17=$AB$5,ROUNDDOWN($AE$16-($AE$16*0.7),0),"")</f>
        <v>4800</v>
      </c>
      <c r="BL17" s="271"/>
      <c r="BM17" s="272"/>
      <c r="BN17" s="285">
        <f>IF(BB17="","",ROUNDDOWN(BB17/2,0))</f>
        <v>5250</v>
      </c>
      <c r="BO17" s="271"/>
      <c r="BP17" s="284"/>
      <c r="BQ17" s="270">
        <f>IF(BH17="","",ROUNDDOWN(BH17/2,0))</f>
        <v>2400</v>
      </c>
      <c r="BR17" s="271"/>
      <c r="BS17" s="272"/>
      <c r="BT17" s="337"/>
      <c r="BU17" s="338"/>
      <c r="BV17" s="339"/>
      <c r="BW17" s="93"/>
      <c r="BX17" s="44" t="str">
        <f>LEFT(AI4,1)</f>
        <v/>
      </c>
      <c r="BY17" s="289">
        <f>ROUNDDOWN(IF(BX17="",0,#REF!)*$AE$8,0)</f>
        <v>0</v>
      </c>
      <c r="BZ17" s="290"/>
      <c r="CA17" s="291"/>
      <c r="CB17" s="93"/>
      <c r="CC17" s="13">
        <v>13</v>
      </c>
      <c r="CD17" s="93"/>
      <c r="CE17" s="93"/>
      <c r="CF17" s="93"/>
      <c r="CG17" s="93"/>
    </row>
    <row r="18" spans="2:85" ht="16.5" customHeight="1" thickBot="1" x14ac:dyDescent="0.2">
      <c r="B18" s="59"/>
      <c r="C18" s="678"/>
      <c r="D18" s="678"/>
      <c r="E18" s="678"/>
      <c r="F18" s="678"/>
      <c r="G18" s="678"/>
      <c r="H18" s="678"/>
      <c r="I18" s="678"/>
      <c r="J18" s="678"/>
      <c r="K18" s="678"/>
      <c r="L18" s="678"/>
      <c r="M18" s="678"/>
      <c r="N18" s="678"/>
      <c r="O18" s="678"/>
      <c r="P18" s="678"/>
      <c r="Q18" s="678"/>
      <c r="R18" s="678"/>
      <c r="S18" s="678"/>
      <c r="T18" s="678"/>
      <c r="U18" s="678"/>
      <c r="V18" s="678"/>
      <c r="W18" s="678"/>
      <c r="X18" s="678"/>
      <c r="Y18" s="678"/>
      <c r="Z18" s="679"/>
      <c r="AA18" s="93"/>
      <c r="AB18" s="93"/>
      <c r="AC18" s="93"/>
      <c r="AD18" s="93"/>
      <c r="AE18" s="93"/>
      <c r="AF18" s="93"/>
      <c r="AG18" s="93"/>
      <c r="AH18" s="93"/>
      <c r="AI18" s="451" t="s">
        <v>67</v>
      </c>
      <c r="AJ18" s="296"/>
      <c r="AK18" s="296"/>
      <c r="AL18" s="296"/>
      <c r="AM18" s="296"/>
      <c r="AN18" s="297"/>
      <c r="AO18" s="394" t="s">
        <v>70</v>
      </c>
      <c r="AP18" s="296"/>
      <c r="AQ18" s="296"/>
      <c r="AR18" s="296"/>
      <c r="AS18" s="296"/>
      <c r="AT18" s="274">
        <f>$AE$19+($AE$20*$BY$14)+(100000*($CA$14-1))</f>
        <v>330000</v>
      </c>
      <c r="AU18" s="274"/>
      <c r="AV18" s="274"/>
      <c r="AW18" s="274"/>
      <c r="AX18" s="296" t="s">
        <v>69</v>
      </c>
      <c r="AY18" s="297"/>
      <c r="AZ18" s="394" t="str">
        <f>IF(AZ17=$AB$5,"",IF($BV$14&lt;=$AT$18,$AB$5,""))</f>
        <v/>
      </c>
      <c r="BA18" s="395"/>
      <c r="BB18" s="273" t="str">
        <f>IF(AZ18=$AB$5,ROUNDDOWN($AE$9-($AE$9*0.5),0),"")</f>
        <v/>
      </c>
      <c r="BC18" s="274"/>
      <c r="BD18" s="282"/>
      <c r="BE18" s="273" t="str">
        <f>IF(AZ18=$AB$5,ROUNDDOWN($AE$10-($AE$10*0.5),0),"")</f>
        <v/>
      </c>
      <c r="BF18" s="274"/>
      <c r="BG18" s="282"/>
      <c r="BH18" s="273" t="str">
        <f>IF(AZ18=$AB$5,ROUNDDOWN($AE$13-($AE$13*0.5),0),"")</f>
        <v/>
      </c>
      <c r="BI18" s="274"/>
      <c r="BJ18" s="282"/>
      <c r="BK18" s="273" t="str">
        <f>IF(AZ18=$AB$5,ROUNDDOWN($AE$16-($AE$16*0.5),0),"")</f>
        <v/>
      </c>
      <c r="BL18" s="274"/>
      <c r="BM18" s="275"/>
      <c r="BN18" s="292" t="str">
        <f t="shared" ref="BN18:BN20" si="19">IF(BB18="","",ROUNDDOWN(BB18/2,0))</f>
        <v/>
      </c>
      <c r="BO18" s="274"/>
      <c r="BP18" s="282"/>
      <c r="BQ18" s="273" t="str">
        <f t="shared" ref="BQ18:BQ20" si="20">IF(BH18="","",ROUNDDOWN(BH18/2,0))</f>
        <v/>
      </c>
      <c r="BR18" s="274"/>
      <c r="BS18" s="275"/>
      <c r="BT18" s="340"/>
      <c r="BU18" s="341"/>
      <c r="BV18" s="342"/>
      <c r="BW18" s="93"/>
      <c r="BX18" s="45" t="str">
        <f t="shared" ref="BX18" si="21">LEFT(AI5,1)</f>
        <v/>
      </c>
      <c r="BY18" s="286">
        <f>ROUNDDOWN(IF(BX18="",0,#REF!)*$AE$8,0)</f>
        <v>0</v>
      </c>
      <c r="BZ18" s="287"/>
      <c r="CA18" s="288"/>
      <c r="CB18" s="93"/>
      <c r="CC18" s="13">
        <v>14</v>
      </c>
      <c r="CD18" s="93"/>
      <c r="CE18" s="93"/>
      <c r="CF18" s="93"/>
      <c r="CG18" s="93"/>
    </row>
    <row r="19" spans="2:85" ht="16.5" customHeight="1" x14ac:dyDescent="0.15">
      <c r="B19" s="13"/>
      <c r="AA19" s="93"/>
      <c r="AB19" s="467" t="s">
        <v>61</v>
      </c>
      <c r="AC19" s="497" t="s">
        <v>62</v>
      </c>
      <c r="AD19" s="498"/>
      <c r="AE19" s="298">
        <v>430000</v>
      </c>
      <c r="AF19" s="299"/>
      <c r="AG19" s="300"/>
      <c r="AH19" s="93"/>
      <c r="AI19" s="451" t="s">
        <v>68</v>
      </c>
      <c r="AJ19" s="296"/>
      <c r="AK19" s="296"/>
      <c r="AL19" s="296"/>
      <c r="AM19" s="296"/>
      <c r="AN19" s="297"/>
      <c r="AO19" s="394" t="s">
        <v>70</v>
      </c>
      <c r="AP19" s="296"/>
      <c r="AQ19" s="296"/>
      <c r="AR19" s="296"/>
      <c r="AS19" s="296"/>
      <c r="AT19" s="274">
        <f>$AE$19+($AE$21*$BY$14)+(100000*($CA$14-1))</f>
        <v>330000</v>
      </c>
      <c r="AU19" s="274"/>
      <c r="AV19" s="274"/>
      <c r="AW19" s="274"/>
      <c r="AX19" s="296" t="s">
        <v>69</v>
      </c>
      <c r="AY19" s="297"/>
      <c r="AZ19" s="394" t="str">
        <f>IF(AZ17=$AB$5,"",IF(AZ18=$AB$5,"",IF($BV$14&lt;=$AT$19,$AB$5,"")))</f>
        <v/>
      </c>
      <c r="BA19" s="395"/>
      <c r="BB19" s="273" t="str">
        <f>IF(AZ19=$AB$5,ROUNDDOWN($AE$9-($AE$9*0.2),0),"")</f>
        <v/>
      </c>
      <c r="BC19" s="274"/>
      <c r="BD19" s="282"/>
      <c r="BE19" s="273" t="str">
        <f>IF(AZ19=$AB$5,ROUNDDOWN($AE$10-($AE$10*0.2),0),"")</f>
        <v/>
      </c>
      <c r="BF19" s="274"/>
      <c r="BG19" s="282"/>
      <c r="BH19" s="273" t="str">
        <f>IF(AZ19=$AB$5,ROUNDDOWN($AE$13-($AE$13*0.2),0),"")</f>
        <v/>
      </c>
      <c r="BI19" s="274"/>
      <c r="BJ19" s="282"/>
      <c r="BK19" s="273" t="str">
        <f>IF(AZ19=$AB$5,ROUNDDOWN($AE$16-($AE$16*0.2),0),"")</f>
        <v/>
      </c>
      <c r="BL19" s="274"/>
      <c r="BM19" s="275"/>
      <c r="BN19" s="292" t="str">
        <f t="shared" si="19"/>
        <v/>
      </c>
      <c r="BO19" s="274"/>
      <c r="BP19" s="282"/>
      <c r="BQ19" s="273" t="str">
        <f t="shared" si="20"/>
        <v/>
      </c>
      <c r="BR19" s="274"/>
      <c r="BS19" s="275"/>
      <c r="BT19" s="340"/>
      <c r="BU19" s="341"/>
      <c r="BV19" s="342"/>
      <c r="BW19" s="93"/>
      <c r="BX19" s="45" t="str">
        <f t="shared" ref="BX19:BX24" si="22">LEFT(AI6,1)</f>
        <v/>
      </c>
      <c r="BY19" s="286">
        <f>ROUNDDOWN(IF(BX19="",0,#REF!)*$AE$8,0)</f>
        <v>0</v>
      </c>
      <c r="BZ19" s="287"/>
      <c r="CA19" s="288"/>
      <c r="CB19" s="93"/>
      <c r="CC19" s="13">
        <v>15</v>
      </c>
      <c r="CD19" s="93"/>
      <c r="CE19" s="93"/>
      <c r="CF19" s="93"/>
      <c r="CG19" s="93"/>
    </row>
    <row r="20" spans="2:85" ht="16.5" customHeight="1" thickBot="1" x14ac:dyDescent="0.2">
      <c r="B20" s="811" t="s">
        <v>6</v>
      </c>
      <c r="C20" s="811"/>
      <c r="D20" s="492" t="s">
        <v>126</v>
      </c>
      <c r="E20" s="492"/>
      <c r="F20" s="492"/>
      <c r="G20" s="492"/>
      <c r="H20" s="492"/>
      <c r="I20" s="492"/>
      <c r="J20" s="811" t="s">
        <v>5</v>
      </c>
      <c r="K20" s="811"/>
      <c r="L20" s="492" t="s">
        <v>7</v>
      </c>
      <c r="M20" s="492"/>
      <c r="N20" s="492"/>
      <c r="O20" s="492"/>
      <c r="P20" s="492"/>
      <c r="Q20" s="492" t="s">
        <v>8</v>
      </c>
      <c r="R20" s="492"/>
      <c r="S20" s="492"/>
      <c r="T20" s="492"/>
      <c r="U20" s="492"/>
      <c r="V20" s="492" t="s">
        <v>9</v>
      </c>
      <c r="W20" s="492"/>
      <c r="X20" s="492"/>
      <c r="Y20" s="492"/>
      <c r="Z20" s="492"/>
      <c r="AA20" s="93"/>
      <c r="AB20" s="468"/>
      <c r="AC20" s="477" t="s">
        <v>63</v>
      </c>
      <c r="AD20" s="478"/>
      <c r="AE20" s="493">
        <v>295000</v>
      </c>
      <c r="AF20" s="494"/>
      <c r="AG20" s="495"/>
      <c r="AH20" s="93"/>
      <c r="AI20" s="499" t="s">
        <v>75</v>
      </c>
      <c r="AJ20" s="294"/>
      <c r="AK20" s="294"/>
      <c r="AL20" s="294"/>
      <c r="AM20" s="294"/>
      <c r="AN20" s="295"/>
      <c r="AO20" s="293" t="s">
        <v>70</v>
      </c>
      <c r="AP20" s="294"/>
      <c r="AQ20" s="294"/>
      <c r="AR20" s="294"/>
      <c r="AS20" s="294"/>
      <c r="AT20" s="277">
        <f>$AE$19+($AE$21*$BY$14)+(100000*($CA$14-1))+1</f>
        <v>330001</v>
      </c>
      <c r="AU20" s="277"/>
      <c r="AV20" s="277"/>
      <c r="AW20" s="277"/>
      <c r="AX20" s="294" t="s">
        <v>74</v>
      </c>
      <c r="AY20" s="295"/>
      <c r="AZ20" s="293" t="str">
        <f>IF(AZ17=AB5,"",IF(AZ18=AB5,"",IF(AZ19=AB5,"",AB5)))</f>
        <v/>
      </c>
      <c r="BA20" s="393"/>
      <c r="BB20" s="276" t="str">
        <f>IF(AZ20=$AB$5,AE9,"")</f>
        <v/>
      </c>
      <c r="BC20" s="277"/>
      <c r="BD20" s="283"/>
      <c r="BE20" s="276" t="str">
        <f>IF(AZ20=$AB$5,AE10,"")</f>
        <v/>
      </c>
      <c r="BF20" s="277"/>
      <c r="BG20" s="283"/>
      <c r="BH20" s="276" t="str">
        <f>IF(AZ20=$AB$5,AE13,"")</f>
        <v/>
      </c>
      <c r="BI20" s="277"/>
      <c r="BJ20" s="283"/>
      <c r="BK20" s="276" t="str">
        <f>IF(AZ20=$AB$5,AE16,"")</f>
        <v/>
      </c>
      <c r="BL20" s="277"/>
      <c r="BM20" s="278"/>
      <c r="BN20" s="620" t="str">
        <f t="shared" si="19"/>
        <v/>
      </c>
      <c r="BO20" s="277"/>
      <c r="BP20" s="283"/>
      <c r="BQ20" s="276" t="str">
        <f t="shared" si="20"/>
        <v/>
      </c>
      <c r="BR20" s="277"/>
      <c r="BS20" s="278"/>
      <c r="BT20" s="343"/>
      <c r="BU20" s="344"/>
      <c r="BV20" s="345"/>
      <c r="BW20" s="93"/>
      <c r="BX20" s="45" t="str">
        <f t="shared" si="22"/>
        <v/>
      </c>
      <c r="BY20" s="286">
        <f>ROUNDDOWN(IF(BX20="",0,#REF!)*$AE$8,0)</f>
        <v>0</v>
      </c>
      <c r="BZ20" s="287"/>
      <c r="CA20" s="288"/>
      <c r="CB20" s="93"/>
      <c r="CC20" s="13">
        <v>16</v>
      </c>
      <c r="CD20" s="93"/>
      <c r="CE20" s="93"/>
      <c r="CF20" s="93"/>
      <c r="CG20" s="93"/>
    </row>
    <row r="21" spans="2:85" ht="16.5" customHeight="1" thickBot="1" x14ac:dyDescent="0.2">
      <c r="B21" s="366" t="s">
        <v>264</v>
      </c>
      <c r="C21" s="366"/>
      <c r="D21" s="809"/>
      <c r="E21" s="809"/>
      <c r="F21" s="809"/>
      <c r="G21" s="809"/>
      <c r="H21" s="809"/>
      <c r="I21" s="809"/>
      <c r="J21" s="808" t="s">
        <v>0</v>
      </c>
      <c r="K21" s="808"/>
      <c r="L21" s="810"/>
      <c r="M21" s="810"/>
      <c r="N21" s="810"/>
      <c r="O21" s="810"/>
      <c r="P21" s="810"/>
      <c r="Q21" s="810"/>
      <c r="R21" s="810"/>
      <c r="S21" s="810"/>
      <c r="T21" s="810"/>
      <c r="U21" s="810"/>
      <c r="V21" s="810"/>
      <c r="W21" s="810"/>
      <c r="X21" s="810"/>
      <c r="Y21" s="810"/>
      <c r="Z21" s="810"/>
      <c r="AA21" s="93"/>
      <c r="AB21" s="469"/>
      <c r="AC21" s="475" t="s">
        <v>64</v>
      </c>
      <c r="AD21" s="476"/>
      <c r="AE21" s="500">
        <v>545000</v>
      </c>
      <c r="AF21" s="501"/>
      <c r="AG21" s="502"/>
      <c r="AH21" s="93"/>
      <c r="AI21" s="623" t="s">
        <v>82</v>
      </c>
      <c r="AJ21" s="370"/>
      <c r="AK21" s="370"/>
      <c r="AL21" s="370"/>
      <c r="AM21" s="370"/>
      <c r="AN21" s="370"/>
      <c r="AO21" s="370"/>
      <c r="AP21" s="370"/>
      <c r="AQ21" s="370"/>
      <c r="AR21" s="370"/>
      <c r="AS21" s="370"/>
      <c r="AT21" s="370"/>
      <c r="AU21" s="370"/>
      <c r="AV21" s="370"/>
      <c r="AW21" s="370"/>
      <c r="AX21" s="370"/>
      <c r="AY21" s="370"/>
      <c r="AZ21" s="369"/>
      <c r="BA21" s="399"/>
      <c r="BB21" s="279">
        <f>SUM(BB17:BD20)</f>
        <v>10500</v>
      </c>
      <c r="BC21" s="280"/>
      <c r="BD21" s="622"/>
      <c r="BE21" s="279">
        <f>SUM(BE17:BG20)</f>
        <v>0</v>
      </c>
      <c r="BF21" s="280"/>
      <c r="BG21" s="622"/>
      <c r="BH21" s="279">
        <f>SUM(BH17:BJ20)</f>
        <v>4800</v>
      </c>
      <c r="BI21" s="280"/>
      <c r="BJ21" s="622"/>
      <c r="BK21" s="279">
        <f>SUM(BK17:BM20)</f>
        <v>4800</v>
      </c>
      <c r="BL21" s="280"/>
      <c r="BM21" s="281"/>
      <c r="BN21" s="621">
        <f>SUM(BN17:BP20)</f>
        <v>5250</v>
      </c>
      <c r="BO21" s="280"/>
      <c r="BP21" s="622"/>
      <c r="BQ21" s="279">
        <f>SUM(BQ17:BS20)</f>
        <v>2400</v>
      </c>
      <c r="BR21" s="280"/>
      <c r="BS21" s="281"/>
      <c r="BT21" s="334">
        <f>COUNTIF(J21:K28,"=☑")</f>
        <v>0</v>
      </c>
      <c r="BU21" s="335"/>
      <c r="BV21" s="336"/>
      <c r="BW21" s="93"/>
      <c r="BX21" s="45" t="str">
        <f t="shared" si="22"/>
        <v/>
      </c>
      <c r="BY21" s="286">
        <f>ROUNDDOWN(IF(BX21="",0,#REF!)*$AE$8,0)</f>
        <v>0</v>
      </c>
      <c r="BZ21" s="287"/>
      <c r="CA21" s="288"/>
      <c r="CB21" s="93"/>
      <c r="CC21" s="13">
        <v>17</v>
      </c>
      <c r="CD21" s="93"/>
      <c r="CE21" s="93"/>
      <c r="CF21" s="93"/>
      <c r="CG21" s="93"/>
    </row>
    <row r="22" spans="2:85" ht="16.5" customHeight="1" x14ac:dyDescent="0.15">
      <c r="B22" s="366" t="s">
        <v>265</v>
      </c>
      <c r="C22" s="366"/>
      <c r="D22" s="809"/>
      <c r="E22" s="809"/>
      <c r="F22" s="809"/>
      <c r="G22" s="809"/>
      <c r="H22" s="809"/>
      <c r="I22" s="809"/>
      <c r="J22" s="808" t="s">
        <v>0</v>
      </c>
      <c r="K22" s="808"/>
      <c r="L22" s="810"/>
      <c r="M22" s="810"/>
      <c r="N22" s="810"/>
      <c r="O22" s="810"/>
      <c r="P22" s="810"/>
      <c r="Q22" s="810"/>
      <c r="R22" s="810"/>
      <c r="S22" s="810"/>
      <c r="T22" s="810"/>
      <c r="U22" s="810"/>
      <c r="V22" s="810"/>
      <c r="W22" s="810"/>
      <c r="X22" s="810"/>
      <c r="Y22" s="810"/>
      <c r="Z22" s="810"/>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45" t="str">
        <f t="shared" si="22"/>
        <v/>
      </c>
      <c r="BY22" s="286">
        <f>ROUNDDOWN(IF(BX22="",0,#REF!)*$AE$8,0)</f>
        <v>0</v>
      </c>
      <c r="BZ22" s="287"/>
      <c r="CA22" s="288"/>
      <c r="CB22" s="93"/>
      <c r="CC22" s="13">
        <v>18</v>
      </c>
      <c r="CD22" s="93"/>
      <c r="CE22" s="93"/>
      <c r="CF22" s="93"/>
      <c r="CG22" s="93"/>
    </row>
    <row r="23" spans="2:85" ht="16.5" customHeight="1" thickBot="1" x14ac:dyDescent="0.2">
      <c r="B23" s="366" t="s">
        <v>266</v>
      </c>
      <c r="C23" s="366"/>
      <c r="D23" s="809"/>
      <c r="E23" s="809"/>
      <c r="F23" s="809"/>
      <c r="G23" s="809"/>
      <c r="H23" s="809"/>
      <c r="I23" s="809"/>
      <c r="J23" s="808" t="s">
        <v>0</v>
      </c>
      <c r="K23" s="808"/>
      <c r="L23" s="810"/>
      <c r="M23" s="810"/>
      <c r="N23" s="810"/>
      <c r="O23" s="810"/>
      <c r="P23" s="810"/>
      <c r="Q23" s="810"/>
      <c r="R23" s="810"/>
      <c r="S23" s="810"/>
      <c r="T23" s="810"/>
      <c r="U23" s="810"/>
      <c r="V23" s="810"/>
      <c r="W23" s="810"/>
      <c r="X23" s="810"/>
      <c r="Y23" s="810"/>
      <c r="Z23" s="810"/>
      <c r="AA23" s="93"/>
      <c r="AB23" s="93" t="s">
        <v>21</v>
      </c>
      <c r="AC23" s="93"/>
      <c r="AD23" s="93"/>
      <c r="AE23" s="93"/>
      <c r="AF23" s="93"/>
      <c r="AG23" s="93"/>
      <c r="AH23" s="93"/>
      <c r="AI23" s="93"/>
      <c r="AJ23" s="93"/>
      <c r="AK23" s="93"/>
      <c r="AL23" s="93"/>
      <c r="AM23" s="93"/>
      <c r="AN23" s="93"/>
      <c r="AO23" s="93"/>
      <c r="AP23" s="93"/>
      <c r="AQ23" s="93"/>
      <c r="AR23" s="93"/>
      <c r="AS23" s="93"/>
      <c r="AT23" s="93"/>
      <c r="AU23" s="93"/>
      <c r="AV23" s="93"/>
      <c r="AW23" s="93"/>
      <c r="AX23" s="93" t="s">
        <v>83</v>
      </c>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45" t="str">
        <f t="shared" si="22"/>
        <v/>
      </c>
      <c r="BY23" s="286">
        <f>ROUNDDOWN(IF(BX23="",0,#REF!)*$AE$8,0)</f>
        <v>0</v>
      </c>
      <c r="BZ23" s="287"/>
      <c r="CA23" s="288"/>
      <c r="CB23" s="93"/>
      <c r="CC23" s="13">
        <v>19</v>
      </c>
      <c r="CD23" s="93"/>
      <c r="CE23" s="93"/>
      <c r="CF23" s="93"/>
      <c r="CG23" s="93"/>
    </row>
    <row r="24" spans="2:85" ht="16.5" customHeight="1" thickBot="1" x14ac:dyDescent="0.2">
      <c r="B24" s="366" t="s">
        <v>267</v>
      </c>
      <c r="C24" s="366"/>
      <c r="D24" s="809"/>
      <c r="E24" s="809"/>
      <c r="F24" s="809"/>
      <c r="G24" s="809"/>
      <c r="H24" s="809"/>
      <c r="I24" s="809"/>
      <c r="J24" s="808" t="s">
        <v>0</v>
      </c>
      <c r="K24" s="808"/>
      <c r="L24" s="810"/>
      <c r="M24" s="810"/>
      <c r="N24" s="810"/>
      <c r="O24" s="810"/>
      <c r="P24" s="810"/>
      <c r="Q24" s="810"/>
      <c r="R24" s="810"/>
      <c r="S24" s="810"/>
      <c r="T24" s="810"/>
      <c r="U24" s="810"/>
      <c r="V24" s="810"/>
      <c r="W24" s="810"/>
      <c r="X24" s="810"/>
      <c r="Y24" s="810"/>
      <c r="Z24" s="810"/>
      <c r="AA24" s="93"/>
      <c r="AB24" s="7"/>
      <c r="AC24" s="623" t="s">
        <v>24</v>
      </c>
      <c r="AD24" s="370"/>
      <c r="AE24" s="370"/>
      <c r="AF24" s="370"/>
      <c r="AG24" s="370"/>
      <c r="AH24" s="370"/>
      <c r="AI24" s="370"/>
      <c r="AJ24" s="370"/>
      <c r="AK24" s="375"/>
      <c r="AL24" s="623" t="s">
        <v>25</v>
      </c>
      <c r="AM24" s="370"/>
      <c r="AN24" s="370"/>
      <c r="AO24" s="370"/>
      <c r="AP24" s="370"/>
      <c r="AQ24" s="370"/>
      <c r="AR24" s="370"/>
      <c r="AS24" s="370"/>
      <c r="AT24" s="370"/>
      <c r="AU24" s="370"/>
      <c r="AV24" s="375"/>
      <c r="AW24" s="93"/>
      <c r="AX24" s="307"/>
      <c r="AY24" s="308"/>
      <c r="AZ24" s="308"/>
      <c r="BA24" s="498"/>
      <c r="BB24" s="497" t="s">
        <v>99</v>
      </c>
      <c r="BC24" s="308"/>
      <c r="BD24" s="308"/>
      <c r="BE24" s="498"/>
      <c r="BF24" s="497" t="s">
        <v>101</v>
      </c>
      <c r="BG24" s="308"/>
      <c r="BH24" s="308"/>
      <c r="BI24" s="498"/>
      <c r="BJ24" s="497" t="s">
        <v>100</v>
      </c>
      <c r="BK24" s="308"/>
      <c r="BL24" s="308"/>
      <c r="BM24" s="309"/>
      <c r="BN24" s="307" t="s">
        <v>89</v>
      </c>
      <c r="BO24" s="308"/>
      <c r="BP24" s="308"/>
      <c r="BQ24" s="308"/>
      <c r="BR24" s="308"/>
      <c r="BS24" s="308"/>
      <c r="BT24" s="308"/>
      <c r="BU24" s="308"/>
      <c r="BV24" s="309"/>
      <c r="BW24" s="93"/>
      <c r="BX24" s="46" t="str">
        <f t="shared" si="22"/>
        <v/>
      </c>
      <c r="BY24" s="346">
        <f>ROUNDDOWN(IF(BX24="",0,#REF!)*$AE$8,0)</f>
        <v>0</v>
      </c>
      <c r="BZ24" s="347"/>
      <c r="CA24" s="348"/>
      <c r="CB24" s="93"/>
      <c r="CC24" s="13">
        <v>20</v>
      </c>
      <c r="CD24" s="93"/>
      <c r="CE24" s="93"/>
      <c r="CF24" s="93"/>
      <c r="CG24" s="93"/>
    </row>
    <row r="25" spans="2:85" ht="16.5" customHeight="1" thickTop="1" thickBot="1" x14ac:dyDescent="0.2">
      <c r="B25" s="366" t="s">
        <v>268</v>
      </c>
      <c r="C25" s="366"/>
      <c r="D25" s="809"/>
      <c r="E25" s="809"/>
      <c r="F25" s="809"/>
      <c r="G25" s="809"/>
      <c r="H25" s="809"/>
      <c r="I25" s="809"/>
      <c r="J25" s="808" t="s">
        <v>0</v>
      </c>
      <c r="K25" s="808"/>
      <c r="L25" s="810"/>
      <c r="M25" s="810"/>
      <c r="N25" s="810"/>
      <c r="O25" s="810"/>
      <c r="P25" s="810"/>
      <c r="Q25" s="810"/>
      <c r="R25" s="810"/>
      <c r="S25" s="810"/>
      <c r="T25" s="810"/>
      <c r="U25" s="810"/>
      <c r="V25" s="810"/>
      <c r="W25" s="810"/>
      <c r="X25" s="810"/>
      <c r="Y25" s="810"/>
      <c r="Z25" s="810"/>
      <c r="AA25" s="93"/>
      <c r="AB25" s="88" t="s">
        <v>27</v>
      </c>
      <c r="AC25" s="514">
        <v>0</v>
      </c>
      <c r="AD25" s="515"/>
      <c r="AE25" s="515"/>
      <c r="AF25" s="515"/>
      <c r="AG25" s="89" t="s">
        <v>22</v>
      </c>
      <c r="AH25" s="515">
        <v>0</v>
      </c>
      <c r="AI25" s="515"/>
      <c r="AJ25" s="515"/>
      <c r="AK25" s="516"/>
      <c r="AL25" s="111" t="s">
        <v>26</v>
      </c>
      <c r="AM25" s="111"/>
      <c r="AN25" s="111"/>
      <c r="AO25" s="517">
        <v>0</v>
      </c>
      <c r="AP25" s="517"/>
      <c r="AQ25" s="517"/>
      <c r="AR25" s="89" t="s">
        <v>23</v>
      </c>
      <c r="AS25" s="515">
        <v>0</v>
      </c>
      <c r="AT25" s="515"/>
      <c r="AU25" s="515"/>
      <c r="AV25" s="516"/>
      <c r="AW25" s="93"/>
      <c r="AX25" s="636" t="s">
        <v>86</v>
      </c>
      <c r="AY25" s="637"/>
      <c r="AZ25" s="637"/>
      <c r="BA25" s="638"/>
      <c r="BB25" s="630">
        <f>BY12</f>
        <v>0</v>
      </c>
      <c r="BC25" s="631"/>
      <c r="BD25" s="631"/>
      <c r="BE25" s="635"/>
      <c r="BF25" s="630">
        <f>BB25</f>
        <v>0</v>
      </c>
      <c r="BG25" s="631"/>
      <c r="BH25" s="631"/>
      <c r="BI25" s="635"/>
      <c r="BJ25" s="630">
        <f>BZ12</f>
        <v>0</v>
      </c>
      <c r="BK25" s="631"/>
      <c r="BL25" s="631"/>
      <c r="BM25" s="632"/>
      <c r="BN25" s="310" t="s">
        <v>87</v>
      </c>
      <c r="BO25" s="317" t="s">
        <v>104</v>
      </c>
      <c r="BP25" s="318"/>
      <c r="BQ25" s="331">
        <f>AT17</f>
        <v>330000</v>
      </c>
      <c r="BR25" s="332"/>
      <c r="BS25" s="333"/>
      <c r="BT25" s="319" t="s">
        <v>88</v>
      </c>
      <c r="BU25" s="320"/>
      <c r="BV25" s="321"/>
      <c r="BW25" s="93"/>
      <c r="BX25" s="91" t="s">
        <v>92</v>
      </c>
      <c r="BY25" s="301">
        <f>SUM(BY17:CA24)</f>
        <v>0</v>
      </c>
      <c r="BZ25" s="302"/>
      <c r="CA25" s="303"/>
      <c r="CB25" s="93"/>
      <c r="CC25" s="13">
        <v>21</v>
      </c>
      <c r="CD25" s="93"/>
      <c r="CE25" s="93"/>
      <c r="CF25" s="93"/>
      <c r="CG25" s="93"/>
    </row>
    <row r="26" spans="2:85" ht="16.5" hidden="1" customHeight="1" x14ac:dyDescent="0.15">
      <c r="B26" s="364" t="s">
        <v>0</v>
      </c>
      <c r="C26" s="365"/>
      <c r="D26" s="413"/>
      <c r="E26" s="414"/>
      <c r="F26" s="414"/>
      <c r="G26" s="414"/>
      <c r="H26" s="414"/>
      <c r="I26" s="415"/>
      <c r="J26" s="382" t="s">
        <v>0</v>
      </c>
      <c r="K26" s="365"/>
      <c r="L26" s="406"/>
      <c r="M26" s="407"/>
      <c r="N26" s="407"/>
      <c r="O26" s="407"/>
      <c r="P26" s="409"/>
      <c r="Q26" s="406"/>
      <c r="R26" s="407"/>
      <c r="S26" s="407"/>
      <c r="T26" s="407"/>
      <c r="U26" s="409"/>
      <c r="V26" s="406"/>
      <c r="W26" s="407"/>
      <c r="X26" s="407"/>
      <c r="Y26" s="407"/>
      <c r="Z26" s="408"/>
      <c r="AA26" s="93"/>
      <c r="AB26" s="90" t="s">
        <v>28</v>
      </c>
      <c r="AC26" s="465">
        <v>1</v>
      </c>
      <c r="AD26" s="466"/>
      <c r="AE26" s="466"/>
      <c r="AF26" s="466"/>
      <c r="AG26" s="6" t="s">
        <v>22</v>
      </c>
      <c r="AH26" s="466">
        <v>550000</v>
      </c>
      <c r="AI26" s="466"/>
      <c r="AJ26" s="466"/>
      <c r="AK26" s="507"/>
      <c r="AL26" s="112" t="s">
        <v>26</v>
      </c>
      <c r="AM26" s="112"/>
      <c r="AN26" s="112"/>
      <c r="AO26" s="506">
        <v>1</v>
      </c>
      <c r="AP26" s="506"/>
      <c r="AQ26" s="506"/>
      <c r="AR26" s="6" t="s">
        <v>23</v>
      </c>
      <c r="AS26" s="466">
        <v>0</v>
      </c>
      <c r="AT26" s="466"/>
      <c r="AU26" s="466"/>
      <c r="AV26" s="507"/>
      <c r="AW26" s="93"/>
      <c r="AX26" s="451" t="s">
        <v>84</v>
      </c>
      <c r="AY26" s="296"/>
      <c r="AZ26" s="296"/>
      <c r="BA26" s="297"/>
      <c r="BB26" s="627">
        <f>BJ12</f>
        <v>0</v>
      </c>
      <c r="BC26" s="628"/>
      <c r="BD26" s="628"/>
      <c r="BE26" s="634"/>
      <c r="BF26" s="627">
        <f>BB26</f>
        <v>0</v>
      </c>
      <c r="BG26" s="628"/>
      <c r="BH26" s="628"/>
      <c r="BI26" s="634"/>
      <c r="BJ26" s="627">
        <f>BP12</f>
        <v>0</v>
      </c>
      <c r="BK26" s="628"/>
      <c r="BL26" s="628"/>
      <c r="BM26" s="629"/>
      <c r="BN26" s="311"/>
      <c r="BO26" s="315" t="s">
        <v>105</v>
      </c>
      <c r="BP26" s="316"/>
      <c r="BQ26" s="328">
        <f>AT18</f>
        <v>330000</v>
      </c>
      <c r="BR26" s="329"/>
      <c r="BS26" s="330"/>
      <c r="BT26" s="322">
        <f>BV14</f>
        <v>0</v>
      </c>
      <c r="BU26" s="323"/>
      <c r="BV26" s="324"/>
      <c r="BW26" s="93"/>
      <c r="BX26" s="93"/>
      <c r="BY26" s="93"/>
      <c r="BZ26" s="93"/>
      <c r="CA26" s="93"/>
      <c r="CB26" s="93"/>
      <c r="CC26" s="13">
        <v>22</v>
      </c>
      <c r="CD26" s="93"/>
      <c r="CE26" s="93"/>
      <c r="CF26" s="93"/>
      <c r="CG26" s="93"/>
    </row>
    <row r="27" spans="2:85" ht="16.5" hidden="1" customHeight="1" thickBot="1" x14ac:dyDescent="0.2">
      <c r="B27" s="364" t="s">
        <v>0</v>
      </c>
      <c r="C27" s="365"/>
      <c r="D27" s="413"/>
      <c r="E27" s="414"/>
      <c r="F27" s="414"/>
      <c r="G27" s="414"/>
      <c r="H27" s="414"/>
      <c r="I27" s="415"/>
      <c r="J27" s="382" t="s">
        <v>0</v>
      </c>
      <c r="K27" s="365"/>
      <c r="L27" s="406"/>
      <c r="M27" s="407"/>
      <c r="N27" s="407"/>
      <c r="O27" s="407"/>
      <c r="P27" s="409"/>
      <c r="Q27" s="406"/>
      <c r="R27" s="407"/>
      <c r="S27" s="407"/>
      <c r="T27" s="407"/>
      <c r="U27" s="409"/>
      <c r="V27" s="406"/>
      <c r="W27" s="407"/>
      <c r="X27" s="407"/>
      <c r="Y27" s="407"/>
      <c r="Z27" s="408"/>
      <c r="AA27" s="93"/>
      <c r="AB27" s="90" t="s">
        <v>29</v>
      </c>
      <c r="AC27" s="465">
        <v>550001</v>
      </c>
      <c r="AD27" s="466"/>
      <c r="AE27" s="466"/>
      <c r="AF27" s="466"/>
      <c r="AG27" s="6" t="s">
        <v>22</v>
      </c>
      <c r="AH27" s="466">
        <v>1625000</v>
      </c>
      <c r="AI27" s="466"/>
      <c r="AJ27" s="466"/>
      <c r="AK27" s="507"/>
      <c r="AL27" s="112" t="s">
        <v>26</v>
      </c>
      <c r="AM27" s="112"/>
      <c r="AN27" s="112"/>
      <c r="AO27" s="506">
        <v>0</v>
      </c>
      <c r="AP27" s="506"/>
      <c r="AQ27" s="506"/>
      <c r="AR27" s="6" t="s">
        <v>23</v>
      </c>
      <c r="AS27" s="466">
        <v>550000</v>
      </c>
      <c r="AT27" s="466"/>
      <c r="AU27" s="466"/>
      <c r="AV27" s="507"/>
      <c r="AW27" s="93"/>
      <c r="AX27" s="499" t="s">
        <v>85</v>
      </c>
      <c r="AY27" s="294"/>
      <c r="AZ27" s="294"/>
      <c r="BA27" s="295"/>
      <c r="BB27" s="624">
        <f>BM12</f>
        <v>0</v>
      </c>
      <c r="BC27" s="625"/>
      <c r="BD27" s="625"/>
      <c r="BE27" s="633"/>
      <c r="BF27" s="624">
        <f>BB27</f>
        <v>0</v>
      </c>
      <c r="BG27" s="625"/>
      <c r="BH27" s="625"/>
      <c r="BI27" s="633"/>
      <c r="BJ27" s="624">
        <f>BS12</f>
        <v>0</v>
      </c>
      <c r="BK27" s="625"/>
      <c r="BL27" s="625"/>
      <c r="BM27" s="626"/>
      <c r="BN27" s="312"/>
      <c r="BO27" s="313" t="s">
        <v>106</v>
      </c>
      <c r="BP27" s="314"/>
      <c r="BQ27" s="325">
        <f>AT19</f>
        <v>330000</v>
      </c>
      <c r="BR27" s="326"/>
      <c r="BS27" s="327"/>
      <c r="BT27" s="304" t="str">
        <f>IF(BY12=0,"",IF(AZ17=AB5,"7割軽減",IF(AZ18=AB5,"5割軽減",IF(AZ19=AB5,"2割軽減","軽減なし"))))</f>
        <v/>
      </c>
      <c r="BU27" s="305"/>
      <c r="BV27" s="306"/>
      <c r="BW27" s="93"/>
      <c r="BX27" s="93"/>
      <c r="BY27" s="93"/>
      <c r="BZ27" s="93"/>
      <c r="CA27" s="93"/>
      <c r="CB27" s="93"/>
      <c r="CC27" s="13">
        <v>23</v>
      </c>
      <c r="CD27" s="93"/>
      <c r="CE27" s="93"/>
      <c r="CF27" s="93"/>
      <c r="CG27" s="93"/>
    </row>
    <row r="28" spans="2:85" ht="16.5" hidden="1" customHeight="1" thickBot="1" x14ac:dyDescent="0.2">
      <c r="B28" s="362" t="s">
        <v>0</v>
      </c>
      <c r="C28" s="363"/>
      <c r="D28" s="416"/>
      <c r="E28" s="417"/>
      <c r="F28" s="417"/>
      <c r="G28" s="417"/>
      <c r="H28" s="417"/>
      <c r="I28" s="418"/>
      <c r="J28" s="481" t="s">
        <v>0</v>
      </c>
      <c r="K28" s="363"/>
      <c r="L28" s="410"/>
      <c r="M28" s="411"/>
      <c r="N28" s="411"/>
      <c r="O28" s="411"/>
      <c r="P28" s="412"/>
      <c r="Q28" s="410"/>
      <c r="R28" s="411"/>
      <c r="S28" s="411"/>
      <c r="T28" s="411"/>
      <c r="U28" s="412"/>
      <c r="V28" s="410"/>
      <c r="W28" s="411"/>
      <c r="X28" s="411"/>
      <c r="Y28" s="411"/>
      <c r="Z28" s="482"/>
      <c r="AA28" s="93"/>
      <c r="AB28" s="90" t="s">
        <v>30</v>
      </c>
      <c r="AC28" s="465">
        <v>1625001</v>
      </c>
      <c r="AD28" s="466"/>
      <c r="AE28" s="466"/>
      <c r="AF28" s="466"/>
      <c r="AG28" s="6" t="s">
        <v>22</v>
      </c>
      <c r="AH28" s="466">
        <v>1800000</v>
      </c>
      <c r="AI28" s="466"/>
      <c r="AJ28" s="466"/>
      <c r="AK28" s="507"/>
      <c r="AL28" s="112" t="s">
        <v>26</v>
      </c>
      <c r="AM28" s="112"/>
      <c r="AN28" s="112"/>
      <c r="AO28" s="506">
        <v>0.4</v>
      </c>
      <c r="AP28" s="506"/>
      <c r="AQ28" s="506"/>
      <c r="AR28" s="6" t="s">
        <v>23</v>
      </c>
      <c r="AS28" s="466">
        <v>-100000</v>
      </c>
      <c r="AT28" s="466"/>
      <c r="AU28" s="466"/>
      <c r="AV28" s="507"/>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13">
        <v>24</v>
      </c>
      <c r="CD28" s="93"/>
      <c r="CE28" s="93"/>
      <c r="CF28" s="93"/>
      <c r="CG28" s="93"/>
    </row>
    <row r="29" spans="2:85" ht="16.5" customHeight="1" thickBot="1" x14ac:dyDescent="0.2">
      <c r="AA29" s="93"/>
      <c r="AB29" s="90" t="s">
        <v>31</v>
      </c>
      <c r="AC29" s="465">
        <v>1800001</v>
      </c>
      <c r="AD29" s="466"/>
      <c r="AE29" s="466"/>
      <c r="AF29" s="466"/>
      <c r="AG29" s="6" t="s">
        <v>22</v>
      </c>
      <c r="AH29" s="466">
        <v>3600000</v>
      </c>
      <c r="AI29" s="466"/>
      <c r="AJ29" s="466"/>
      <c r="AK29" s="507"/>
      <c r="AL29" s="112" t="s">
        <v>26</v>
      </c>
      <c r="AM29" s="112"/>
      <c r="AN29" s="112"/>
      <c r="AO29" s="506">
        <v>0.3</v>
      </c>
      <c r="AP29" s="506"/>
      <c r="AQ29" s="506"/>
      <c r="AR29" s="6" t="s">
        <v>23</v>
      </c>
      <c r="AS29" s="466">
        <v>80000</v>
      </c>
      <c r="AT29" s="466"/>
      <c r="AU29" s="466"/>
      <c r="AV29" s="507"/>
      <c r="AW29" s="93"/>
      <c r="AX29" s="93"/>
      <c r="AY29" s="93"/>
      <c r="AZ29" s="93"/>
      <c r="BA29" s="93"/>
      <c r="BB29" s="93"/>
      <c r="BC29" s="93" t="s">
        <v>123</v>
      </c>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13">
        <v>25</v>
      </c>
      <c r="CD29" s="93"/>
      <c r="CE29" s="93"/>
      <c r="CF29" s="93"/>
      <c r="CG29" s="93"/>
    </row>
    <row r="30" spans="2:85" ht="16.5" customHeight="1" thickBot="1" x14ac:dyDescent="0.2">
      <c r="B30" s="54" t="s">
        <v>133</v>
      </c>
      <c r="AA30" s="93"/>
      <c r="AB30" s="90" t="s">
        <v>32</v>
      </c>
      <c r="AC30" s="465">
        <v>3600001</v>
      </c>
      <c r="AD30" s="466"/>
      <c r="AE30" s="466"/>
      <c r="AF30" s="466"/>
      <c r="AG30" s="6" t="s">
        <v>22</v>
      </c>
      <c r="AH30" s="466">
        <v>6600000</v>
      </c>
      <c r="AI30" s="466"/>
      <c r="AJ30" s="466"/>
      <c r="AK30" s="507"/>
      <c r="AL30" s="112" t="s">
        <v>26</v>
      </c>
      <c r="AM30" s="112"/>
      <c r="AN30" s="112"/>
      <c r="AO30" s="506">
        <v>0.2</v>
      </c>
      <c r="AP30" s="506"/>
      <c r="AQ30" s="506"/>
      <c r="AR30" s="6" t="s">
        <v>23</v>
      </c>
      <c r="AS30" s="466">
        <v>440000</v>
      </c>
      <c r="AT30" s="466"/>
      <c r="AU30" s="466"/>
      <c r="AV30" s="507"/>
      <c r="AW30" s="93"/>
      <c r="AX30" s="93"/>
      <c r="AY30" s="93"/>
      <c r="AZ30" s="93"/>
      <c r="BA30" s="93"/>
      <c r="BB30" s="93"/>
      <c r="BC30" s="623"/>
      <c r="BD30" s="370"/>
      <c r="BE30" s="375"/>
      <c r="BF30" s="623" t="s">
        <v>118</v>
      </c>
      <c r="BG30" s="370"/>
      <c r="BH30" s="371"/>
      <c r="BI30" s="369" t="s">
        <v>119</v>
      </c>
      <c r="BJ30" s="370"/>
      <c r="BK30" s="371"/>
      <c r="BL30" s="369" t="s">
        <v>120</v>
      </c>
      <c r="BM30" s="370"/>
      <c r="BN30" s="375"/>
      <c r="BO30" s="93"/>
      <c r="BP30" s="93"/>
      <c r="BQ30" s="93"/>
      <c r="BR30" s="93"/>
      <c r="BS30" s="93"/>
      <c r="BT30" s="93"/>
      <c r="BU30" s="93"/>
      <c r="BV30" s="93"/>
      <c r="BW30" s="93"/>
      <c r="BX30" s="93"/>
      <c r="BY30" s="93"/>
      <c r="BZ30" s="93"/>
      <c r="CA30" s="93"/>
      <c r="CB30" s="93"/>
      <c r="CC30" s="13">
        <v>26</v>
      </c>
      <c r="CD30" s="93"/>
      <c r="CE30" s="93"/>
      <c r="CF30" s="93"/>
      <c r="CG30" s="93"/>
    </row>
    <row r="31" spans="2:85" ht="16.5" customHeight="1" x14ac:dyDescent="0.15">
      <c r="B31" s="367" t="s">
        <v>103</v>
      </c>
      <c r="C31" s="87" t="s">
        <v>182</v>
      </c>
      <c r="AA31" s="93"/>
      <c r="AB31" s="90" t="s">
        <v>33</v>
      </c>
      <c r="AC31" s="465">
        <v>6600001</v>
      </c>
      <c r="AD31" s="466"/>
      <c r="AE31" s="466"/>
      <c r="AF31" s="466"/>
      <c r="AG31" s="6" t="s">
        <v>22</v>
      </c>
      <c r="AH31" s="466">
        <v>8500000</v>
      </c>
      <c r="AI31" s="466"/>
      <c r="AJ31" s="466"/>
      <c r="AK31" s="507"/>
      <c r="AL31" s="112" t="s">
        <v>26</v>
      </c>
      <c r="AM31" s="112"/>
      <c r="AN31" s="112"/>
      <c r="AO31" s="506">
        <v>0.1</v>
      </c>
      <c r="AP31" s="506"/>
      <c r="AQ31" s="506"/>
      <c r="AR31" s="6" t="s">
        <v>23</v>
      </c>
      <c r="AS31" s="466">
        <v>1100000</v>
      </c>
      <c r="AT31" s="466"/>
      <c r="AU31" s="466"/>
      <c r="AV31" s="507"/>
      <c r="AW31" s="93"/>
      <c r="AX31" s="93"/>
      <c r="AY31" s="93"/>
      <c r="AZ31" s="93"/>
      <c r="BA31" s="93"/>
      <c r="BB31" s="93"/>
      <c r="BC31" s="307" t="s">
        <v>111</v>
      </c>
      <c r="BD31" s="308"/>
      <c r="BE31" s="309"/>
      <c r="BF31" s="657">
        <f>G51</f>
        <v>0</v>
      </c>
      <c r="BG31" s="654"/>
      <c r="BH31" s="656"/>
      <c r="BI31" s="653">
        <f>L51</f>
        <v>0</v>
      </c>
      <c r="BJ31" s="654"/>
      <c r="BK31" s="656"/>
      <c r="BL31" s="653">
        <f>Q51</f>
        <v>0</v>
      </c>
      <c r="BM31" s="654"/>
      <c r="BN31" s="655"/>
      <c r="BO31" s="93"/>
      <c r="BP31" s="93"/>
      <c r="BQ31" s="93"/>
      <c r="BR31" s="93"/>
      <c r="BS31" s="93"/>
      <c r="BT31" s="93"/>
      <c r="BU31" s="93"/>
      <c r="BV31" s="93"/>
      <c r="BW31" s="93"/>
      <c r="BX31" s="93"/>
      <c r="BY31" s="93"/>
      <c r="BZ31" s="93"/>
      <c r="CA31" s="93"/>
      <c r="CB31" s="93"/>
      <c r="CC31" s="13">
        <v>27</v>
      </c>
      <c r="CD31" s="93"/>
      <c r="CE31" s="93"/>
      <c r="CF31" s="93"/>
      <c r="CG31" s="93"/>
    </row>
    <row r="32" spans="2:85" ht="16.5" customHeight="1" thickBot="1" x14ac:dyDescent="0.2">
      <c r="B32" s="368"/>
      <c r="C32" s="84" t="s">
        <v>132</v>
      </c>
      <c r="AA32" s="93"/>
      <c r="AB32" s="9" t="s">
        <v>34</v>
      </c>
      <c r="AC32" s="508">
        <v>8500001</v>
      </c>
      <c r="AD32" s="509"/>
      <c r="AE32" s="509"/>
      <c r="AF32" s="509"/>
      <c r="AG32" s="10" t="s">
        <v>22</v>
      </c>
      <c r="AH32" s="510">
        <v>9999999999</v>
      </c>
      <c r="AI32" s="510"/>
      <c r="AJ32" s="510"/>
      <c r="AK32" s="511"/>
      <c r="AL32" s="113" t="s">
        <v>26</v>
      </c>
      <c r="AM32" s="113"/>
      <c r="AN32" s="113"/>
      <c r="AO32" s="512">
        <v>0</v>
      </c>
      <c r="AP32" s="512"/>
      <c r="AQ32" s="512"/>
      <c r="AR32" s="10" t="s">
        <v>23</v>
      </c>
      <c r="AS32" s="509">
        <v>1950000</v>
      </c>
      <c r="AT32" s="509"/>
      <c r="AU32" s="509"/>
      <c r="AV32" s="513"/>
      <c r="AW32" s="93"/>
      <c r="AX32" s="93"/>
      <c r="AY32" s="93"/>
      <c r="AZ32" s="93"/>
      <c r="BA32" s="93"/>
      <c r="BB32" s="93"/>
      <c r="BC32" s="644" t="s">
        <v>110</v>
      </c>
      <c r="BD32" s="645"/>
      <c r="BE32" s="646"/>
      <c r="BF32" s="615">
        <f>ROUNDDOWN(BF31/12,0)</f>
        <v>0</v>
      </c>
      <c r="BG32" s="616"/>
      <c r="BH32" s="617"/>
      <c r="BI32" s="618">
        <f>ROUNDDOWN(BI31/12,0)</f>
        <v>0</v>
      </c>
      <c r="BJ32" s="616"/>
      <c r="BK32" s="617"/>
      <c r="BL32" s="618">
        <f>ROUNDDOWN(BL31/12,0)</f>
        <v>0</v>
      </c>
      <c r="BM32" s="616"/>
      <c r="BN32" s="619"/>
      <c r="BO32" s="93"/>
      <c r="BP32" s="93"/>
      <c r="BQ32" s="93"/>
      <c r="BR32" s="93"/>
      <c r="BS32" s="93"/>
      <c r="BT32" s="93"/>
      <c r="BU32" s="93"/>
      <c r="BV32" s="93"/>
      <c r="BW32" s="93"/>
      <c r="BX32" s="93"/>
      <c r="BY32" s="93"/>
      <c r="BZ32" s="93"/>
      <c r="CA32" s="93"/>
      <c r="CB32" s="93"/>
      <c r="CC32" s="13">
        <v>28</v>
      </c>
      <c r="CD32" s="93"/>
      <c r="CE32" s="93"/>
      <c r="CF32" s="93"/>
      <c r="CG32" s="93"/>
    </row>
    <row r="33" spans="2:85" ht="16.5" customHeight="1" thickBot="1" x14ac:dyDescent="0.2">
      <c r="B33" s="479" t="s">
        <v>11</v>
      </c>
      <c r="C33" s="480"/>
      <c r="D33" s="480"/>
      <c r="E33" s="369" t="s">
        <v>126</v>
      </c>
      <c r="F33" s="370"/>
      <c r="G33" s="370"/>
      <c r="H33" s="370"/>
      <c r="I33" s="370"/>
      <c r="J33" s="370"/>
      <c r="K33" s="371"/>
      <c r="L33" s="369" t="s">
        <v>7</v>
      </c>
      <c r="M33" s="370"/>
      <c r="N33" s="370"/>
      <c r="O33" s="370"/>
      <c r="P33" s="371"/>
      <c r="Q33" s="369" t="s">
        <v>8</v>
      </c>
      <c r="R33" s="370"/>
      <c r="S33" s="370"/>
      <c r="T33" s="370"/>
      <c r="U33" s="371"/>
      <c r="V33" s="369" t="s">
        <v>9</v>
      </c>
      <c r="W33" s="370"/>
      <c r="X33" s="370"/>
      <c r="Y33" s="370"/>
      <c r="Z33" s="375"/>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644" t="s">
        <v>112</v>
      </c>
      <c r="BD33" s="645"/>
      <c r="BE33" s="646"/>
      <c r="BF33" s="615">
        <f>IF(H41="",12,12-H41)</f>
        <v>12</v>
      </c>
      <c r="BG33" s="616"/>
      <c r="BH33" s="617"/>
      <c r="BI33" s="618">
        <f>IF(H41="",12,12-H41)</f>
        <v>12</v>
      </c>
      <c r="BJ33" s="616"/>
      <c r="BK33" s="617"/>
      <c r="BL33" s="618">
        <f>IF(H41="",12,IF(BL31&gt;0,12-H41,0))</f>
        <v>12</v>
      </c>
      <c r="BM33" s="616"/>
      <c r="BN33" s="619"/>
      <c r="BO33" s="93"/>
      <c r="BP33" s="93"/>
      <c r="BQ33" s="93"/>
      <c r="BR33" s="93"/>
      <c r="BS33" s="93"/>
      <c r="BT33" s="93"/>
      <c r="BU33" s="93"/>
      <c r="BV33" s="93"/>
      <c r="BW33" s="93"/>
      <c r="BX33" s="93"/>
      <c r="BY33" s="93"/>
      <c r="BZ33" s="93"/>
      <c r="CA33" s="93"/>
      <c r="CB33" s="93"/>
      <c r="CC33" s="13">
        <v>29</v>
      </c>
      <c r="CD33" s="93"/>
      <c r="CE33" s="93"/>
      <c r="CF33" s="93"/>
      <c r="CG33" s="93"/>
    </row>
    <row r="34" spans="2:85" ht="16.5" customHeight="1" thickBot="1" x14ac:dyDescent="0.2">
      <c r="B34" s="360" t="s">
        <v>0</v>
      </c>
      <c r="C34" s="361"/>
      <c r="D34" s="361"/>
      <c r="E34" s="372"/>
      <c r="F34" s="373"/>
      <c r="G34" s="373"/>
      <c r="H34" s="373"/>
      <c r="I34" s="373"/>
      <c r="J34" s="373"/>
      <c r="K34" s="374"/>
      <c r="L34" s="379"/>
      <c r="M34" s="380"/>
      <c r="N34" s="380"/>
      <c r="O34" s="380"/>
      <c r="P34" s="381"/>
      <c r="Q34" s="379"/>
      <c r="R34" s="380"/>
      <c r="S34" s="380"/>
      <c r="T34" s="380"/>
      <c r="U34" s="381"/>
      <c r="V34" s="376"/>
      <c r="W34" s="377"/>
      <c r="X34" s="377"/>
      <c r="Y34" s="377"/>
      <c r="Z34" s="378"/>
      <c r="AB34" s="93" t="s">
        <v>180</v>
      </c>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644" t="s">
        <v>113</v>
      </c>
      <c r="BD34" s="645"/>
      <c r="BE34" s="646"/>
      <c r="BF34" s="615">
        <f>BF32*BF33</f>
        <v>0</v>
      </c>
      <c r="BG34" s="616"/>
      <c r="BH34" s="617"/>
      <c r="BI34" s="618">
        <f>BI32*BI33</f>
        <v>0</v>
      </c>
      <c r="BJ34" s="616"/>
      <c r="BK34" s="617"/>
      <c r="BL34" s="618">
        <f>BL32*BL33</f>
        <v>0</v>
      </c>
      <c r="BM34" s="616"/>
      <c r="BN34" s="619"/>
      <c r="BO34" s="93"/>
      <c r="BP34" s="93"/>
      <c r="BQ34" s="93"/>
      <c r="BR34" s="93"/>
      <c r="BS34" s="93"/>
      <c r="BT34" s="93"/>
      <c r="BU34" s="93"/>
      <c r="BV34" s="93"/>
      <c r="BW34" s="93"/>
      <c r="BX34" s="93"/>
      <c r="BY34" s="93"/>
      <c r="BZ34" s="93"/>
      <c r="CA34" s="93"/>
      <c r="CB34" s="93"/>
      <c r="CC34" s="13">
        <v>30</v>
      </c>
      <c r="CD34" s="93"/>
      <c r="CE34" s="93"/>
      <c r="CF34" s="93"/>
      <c r="CG34" s="93"/>
    </row>
    <row r="35" spans="2:85" ht="16.5" customHeight="1" thickBot="1" x14ac:dyDescent="0.2">
      <c r="AA35" s="93"/>
      <c r="AB35" s="68"/>
      <c r="AC35" s="663" t="s">
        <v>24</v>
      </c>
      <c r="AD35" s="664"/>
      <c r="AE35" s="664"/>
      <c r="AF35" s="664"/>
      <c r="AG35" s="664"/>
      <c r="AH35" s="664"/>
      <c r="AI35" s="665"/>
      <c r="AJ35" s="663"/>
      <c r="AK35" s="664"/>
      <c r="AL35" s="664"/>
      <c r="AM35" s="664"/>
      <c r="AN35" s="664"/>
      <c r="AO35" s="664"/>
      <c r="AP35" s="664"/>
      <c r="AQ35" s="664"/>
      <c r="AR35" s="664"/>
      <c r="AS35" s="664"/>
      <c r="AT35" s="664"/>
      <c r="AU35" s="664"/>
      <c r="AV35" s="664"/>
      <c r="AW35" s="664"/>
      <c r="AX35" s="664"/>
      <c r="AY35" s="664"/>
      <c r="AZ35" s="664"/>
      <c r="BA35" s="665"/>
      <c r="BB35" s="93"/>
      <c r="BC35" s="644" t="s">
        <v>114</v>
      </c>
      <c r="BD35" s="645"/>
      <c r="BE35" s="646"/>
      <c r="BF35" s="615">
        <f>BF31-BF34</f>
        <v>0</v>
      </c>
      <c r="BG35" s="616"/>
      <c r="BH35" s="617"/>
      <c r="BI35" s="618">
        <f t="shared" ref="BI35" si="23">BI31-BI34</f>
        <v>0</v>
      </c>
      <c r="BJ35" s="616"/>
      <c r="BK35" s="617"/>
      <c r="BL35" s="618">
        <f t="shared" ref="BL35" si="24">BL31-BL34</f>
        <v>0</v>
      </c>
      <c r="BM35" s="616"/>
      <c r="BN35" s="619"/>
      <c r="BO35" s="93"/>
      <c r="BP35" s="93"/>
      <c r="BQ35" s="93"/>
      <c r="BR35" s="93"/>
      <c r="BS35" s="93"/>
      <c r="BT35" s="93"/>
      <c r="BU35" s="93"/>
      <c r="BV35" s="93"/>
      <c r="BW35" s="93"/>
      <c r="BX35" s="93"/>
      <c r="BY35" s="93"/>
      <c r="BZ35" s="93"/>
      <c r="CA35" s="93"/>
      <c r="CB35" s="93"/>
      <c r="CC35" s="13">
        <v>31</v>
      </c>
      <c r="CD35" s="93"/>
      <c r="CE35" s="93"/>
      <c r="CF35" s="93"/>
      <c r="CG35" s="93"/>
    </row>
    <row r="36" spans="2:85" ht="16.5" customHeight="1" thickBot="1" x14ac:dyDescent="0.2">
      <c r="B36" s="386" t="s">
        <v>170</v>
      </c>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93"/>
      <c r="AB36" s="69" t="s">
        <v>27</v>
      </c>
      <c r="AC36" s="698">
        <v>0</v>
      </c>
      <c r="AD36" s="699"/>
      <c r="AE36" s="699"/>
      <c r="AF36" s="70" t="s">
        <v>22</v>
      </c>
      <c r="AG36" s="699">
        <v>0</v>
      </c>
      <c r="AH36" s="699"/>
      <c r="AI36" s="700"/>
      <c r="AJ36" s="117" t="s">
        <v>178</v>
      </c>
      <c r="AK36" s="67"/>
      <c r="AL36" s="67"/>
      <c r="AM36" s="74">
        <v>0</v>
      </c>
      <c r="AN36" s="682" t="s">
        <v>179</v>
      </c>
      <c r="AO36" s="682"/>
      <c r="AP36" s="682"/>
      <c r="AQ36" s="73">
        <v>1</v>
      </c>
      <c r="AR36" s="95" t="s">
        <v>175</v>
      </c>
      <c r="AS36" s="95"/>
      <c r="AT36" s="82">
        <v>0</v>
      </c>
      <c r="AU36" s="67" t="s">
        <v>176</v>
      </c>
      <c r="AV36" s="67"/>
      <c r="AW36" s="75">
        <v>0</v>
      </c>
      <c r="AX36" s="95" t="s">
        <v>177</v>
      </c>
      <c r="AY36" s="684">
        <v>0</v>
      </c>
      <c r="AZ36" s="684"/>
      <c r="BA36" s="685"/>
      <c r="BB36" s="93"/>
      <c r="BC36" s="647" t="s">
        <v>115</v>
      </c>
      <c r="BD36" s="648"/>
      <c r="BE36" s="649"/>
      <c r="BF36" s="658">
        <f>BF35-ROUNDDOWN(BF35,-2)</f>
        <v>0</v>
      </c>
      <c r="BG36" s="659"/>
      <c r="BH36" s="660"/>
      <c r="BI36" s="661">
        <f>BI35-ROUNDDOWN(BI35,-2)</f>
        <v>0</v>
      </c>
      <c r="BJ36" s="659"/>
      <c r="BK36" s="660"/>
      <c r="BL36" s="661">
        <f>BL35-ROUNDDOWN(BL35,-2)</f>
        <v>0</v>
      </c>
      <c r="BM36" s="659"/>
      <c r="BN36" s="662"/>
      <c r="BO36" s="93"/>
      <c r="BP36" s="93"/>
      <c r="BQ36" s="93"/>
      <c r="BR36" s="93"/>
      <c r="BS36" s="93"/>
      <c r="BT36" s="93"/>
      <c r="BU36" s="93"/>
      <c r="BV36" s="93"/>
      <c r="BW36" s="93"/>
      <c r="BX36" s="93"/>
      <c r="BY36" s="93"/>
      <c r="BZ36" s="93"/>
      <c r="CA36" s="93"/>
      <c r="CB36" s="93"/>
      <c r="CC36" s="13">
        <v>32</v>
      </c>
      <c r="CD36" s="93"/>
      <c r="CE36" s="93"/>
      <c r="CF36" s="93"/>
      <c r="CG36" s="93"/>
    </row>
    <row r="37" spans="2:85" ht="16.5" customHeight="1" thickTop="1" thickBot="1" x14ac:dyDescent="0.2">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93"/>
      <c r="AB37" s="71" t="s">
        <v>28</v>
      </c>
      <c r="AC37" s="688">
        <v>1</v>
      </c>
      <c r="AD37" s="689"/>
      <c r="AE37" s="689"/>
      <c r="AF37" s="72" t="s">
        <v>22</v>
      </c>
      <c r="AG37" s="689">
        <v>550999</v>
      </c>
      <c r="AH37" s="689"/>
      <c r="AI37" s="692"/>
      <c r="AJ37" s="117" t="s">
        <v>178</v>
      </c>
      <c r="AK37" s="67"/>
      <c r="AL37" s="67"/>
      <c r="AM37" s="74">
        <v>0</v>
      </c>
      <c r="AN37" s="683" t="s">
        <v>179</v>
      </c>
      <c r="AO37" s="683"/>
      <c r="AP37" s="683"/>
      <c r="AQ37" s="73">
        <v>1</v>
      </c>
      <c r="AR37" s="95" t="s">
        <v>175</v>
      </c>
      <c r="AS37" s="95"/>
      <c r="AT37" s="82">
        <v>0</v>
      </c>
      <c r="AU37" s="67" t="s">
        <v>176</v>
      </c>
      <c r="AV37" s="67"/>
      <c r="AW37" s="75">
        <v>0</v>
      </c>
      <c r="AX37" s="95" t="s">
        <v>177</v>
      </c>
      <c r="AY37" s="686">
        <v>0</v>
      </c>
      <c r="AZ37" s="686"/>
      <c r="BA37" s="687"/>
      <c r="BB37" s="93"/>
      <c r="BC37" s="650" t="s">
        <v>116</v>
      </c>
      <c r="BD37" s="651"/>
      <c r="BE37" s="652"/>
      <c r="BF37" s="642">
        <f>BF35-BF36</f>
        <v>0</v>
      </c>
      <c r="BG37" s="302"/>
      <c r="BH37" s="643"/>
      <c r="BI37" s="301">
        <f>BI35-BI36</f>
        <v>0</v>
      </c>
      <c r="BJ37" s="302"/>
      <c r="BK37" s="643"/>
      <c r="BL37" s="301">
        <f>BL35-BL36</f>
        <v>0</v>
      </c>
      <c r="BM37" s="302"/>
      <c r="BN37" s="303"/>
      <c r="BO37" s="93"/>
      <c r="BP37" s="93"/>
      <c r="BQ37" s="93"/>
      <c r="BR37" s="93"/>
      <c r="BS37" s="93"/>
      <c r="BT37" s="93"/>
      <c r="BU37" s="93"/>
      <c r="BV37" s="93"/>
      <c r="BW37" s="93"/>
      <c r="BX37" s="93"/>
      <c r="BY37" s="93"/>
      <c r="BZ37" s="93"/>
      <c r="CA37" s="93"/>
      <c r="CB37" s="93"/>
      <c r="CC37" s="13">
        <v>33</v>
      </c>
      <c r="CD37" s="93"/>
      <c r="CE37" s="93"/>
      <c r="CF37" s="93"/>
      <c r="CG37" s="93"/>
    </row>
    <row r="38" spans="2:85" ht="16.5" customHeight="1" thickTop="1" thickBot="1" x14ac:dyDescent="0.2">
      <c r="B38" s="351" t="s">
        <v>108</v>
      </c>
      <c r="C38" s="352"/>
      <c r="D38" s="352"/>
      <c r="E38" s="352"/>
      <c r="F38" s="352"/>
      <c r="G38" s="355">
        <f>G51+L51+Q51+V51</f>
        <v>0</v>
      </c>
      <c r="H38" s="355"/>
      <c r="I38" s="355"/>
      <c r="J38" s="355"/>
      <c r="K38" s="356"/>
      <c r="M38" s="49"/>
      <c r="N38" s="49"/>
      <c r="O38" s="49"/>
      <c r="P38" s="49"/>
      <c r="Q38" s="49"/>
      <c r="R38" s="49"/>
      <c r="S38" s="49"/>
      <c r="T38" s="49"/>
      <c r="U38" s="49"/>
      <c r="V38" s="49"/>
      <c r="W38" s="49"/>
      <c r="X38" s="49"/>
      <c r="Y38" s="49"/>
      <c r="Z38" s="49"/>
      <c r="AA38" s="93"/>
      <c r="AB38" s="71" t="s">
        <v>29</v>
      </c>
      <c r="AC38" s="688">
        <v>551000</v>
      </c>
      <c r="AD38" s="689"/>
      <c r="AE38" s="689"/>
      <c r="AF38" s="72" t="s">
        <v>22</v>
      </c>
      <c r="AG38" s="689">
        <v>1618999</v>
      </c>
      <c r="AH38" s="689"/>
      <c r="AI38" s="692"/>
      <c r="AJ38" s="117" t="s">
        <v>178</v>
      </c>
      <c r="AK38" s="67"/>
      <c r="AL38" s="67"/>
      <c r="AM38" s="74">
        <v>0</v>
      </c>
      <c r="AN38" s="683" t="s">
        <v>179</v>
      </c>
      <c r="AO38" s="683"/>
      <c r="AP38" s="683"/>
      <c r="AQ38" s="73">
        <v>1</v>
      </c>
      <c r="AR38" s="95" t="s">
        <v>175</v>
      </c>
      <c r="AS38" s="95"/>
      <c r="AT38" s="82">
        <v>0</v>
      </c>
      <c r="AU38" s="67" t="s">
        <v>176</v>
      </c>
      <c r="AV38" s="67"/>
      <c r="AW38" s="75">
        <v>1</v>
      </c>
      <c r="AX38" s="95" t="s">
        <v>177</v>
      </c>
      <c r="AY38" s="686">
        <v>-550000</v>
      </c>
      <c r="AZ38" s="686"/>
      <c r="BA38" s="687"/>
      <c r="BB38" s="93"/>
      <c r="BC38" s="623" t="s">
        <v>117</v>
      </c>
      <c r="BD38" s="370"/>
      <c r="BE38" s="375"/>
      <c r="BF38" s="639">
        <f>SUM(BF37:BN37)</f>
        <v>0</v>
      </c>
      <c r="BG38" s="640"/>
      <c r="BH38" s="640"/>
      <c r="BI38" s="640"/>
      <c r="BJ38" s="640"/>
      <c r="BK38" s="640"/>
      <c r="BL38" s="640"/>
      <c r="BM38" s="640"/>
      <c r="BN38" s="641"/>
      <c r="BO38" s="93"/>
      <c r="BP38" s="93"/>
      <c r="BQ38" s="93"/>
      <c r="BR38" s="93"/>
      <c r="BS38" s="93"/>
      <c r="BT38" s="93"/>
      <c r="BU38" s="93"/>
      <c r="BV38" s="93"/>
      <c r="BW38" s="93"/>
      <c r="BX38" s="93"/>
      <c r="BY38" s="93"/>
      <c r="BZ38" s="93"/>
      <c r="CA38" s="93"/>
      <c r="CB38" s="93"/>
      <c r="CC38" s="13">
        <v>34</v>
      </c>
      <c r="CD38" s="93"/>
      <c r="CE38" s="93"/>
      <c r="CF38" s="93"/>
      <c r="CG38" s="93"/>
    </row>
    <row r="39" spans="2:85" ht="16.5" customHeight="1" thickBot="1" x14ac:dyDescent="0.2">
      <c r="B39" s="353"/>
      <c r="C39" s="354"/>
      <c r="D39" s="354"/>
      <c r="E39" s="354"/>
      <c r="F39" s="354"/>
      <c r="G39" s="357"/>
      <c r="H39" s="357"/>
      <c r="I39" s="357"/>
      <c r="J39" s="357"/>
      <c r="K39" s="358"/>
      <c r="M39" s="666" t="s">
        <v>138</v>
      </c>
      <c r="N39" s="667"/>
      <c r="O39" s="667"/>
      <c r="P39" s="667"/>
      <c r="Q39" s="668"/>
      <c r="R39" s="359">
        <f>ROUND(G38/12,0)</f>
        <v>0</v>
      </c>
      <c r="S39" s="359"/>
      <c r="T39" s="359"/>
      <c r="U39" s="359"/>
      <c r="V39" s="359"/>
      <c r="AA39" s="93"/>
      <c r="AB39" s="71" t="s">
        <v>30</v>
      </c>
      <c r="AC39" s="688">
        <v>1619000</v>
      </c>
      <c r="AD39" s="689"/>
      <c r="AE39" s="689"/>
      <c r="AF39" s="72" t="s">
        <v>22</v>
      </c>
      <c r="AG39" s="689">
        <v>1619999</v>
      </c>
      <c r="AH39" s="689"/>
      <c r="AI39" s="692"/>
      <c r="AJ39" s="117" t="s">
        <v>178</v>
      </c>
      <c r="AK39" s="67"/>
      <c r="AL39" s="67"/>
      <c r="AM39" s="74">
        <v>0</v>
      </c>
      <c r="AN39" s="683" t="s">
        <v>179</v>
      </c>
      <c r="AO39" s="683"/>
      <c r="AP39" s="683"/>
      <c r="AQ39" s="73">
        <v>1</v>
      </c>
      <c r="AR39" s="95" t="s">
        <v>175</v>
      </c>
      <c r="AS39" s="95"/>
      <c r="AT39" s="82">
        <v>0</v>
      </c>
      <c r="AU39" s="67" t="s">
        <v>176</v>
      </c>
      <c r="AV39" s="67"/>
      <c r="AW39" s="75">
        <v>0</v>
      </c>
      <c r="AX39" s="95" t="s">
        <v>177</v>
      </c>
      <c r="AY39" s="686">
        <v>1069000</v>
      </c>
      <c r="AZ39" s="686"/>
      <c r="BA39" s="687"/>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3">
        <v>35</v>
      </c>
      <c r="CD39" s="93"/>
      <c r="CE39" s="93"/>
      <c r="CF39" s="93"/>
      <c r="CG39" s="93"/>
    </row>
    <row r="40" spans="2:85" ht="16.5" customHeight="1" thickTop="1" thickBot="1" x14ac:dyDescent="0.2">
      <c r="S40" s="384" t="s">
        <v>122</v>
      </c>
      <c r="T40" s="384"/>
      <c r="U40" s="384"/>
      <c r="V40" s="384"/>
      <c r="W40" s="384"/>
      <c r="X40" s="384"/>
      <c r="Y40" s="384"/>
      <c r="Z40" s="384"/>
      <c r="AA40" s="93"/>
      <c r="AB40" s="71" t="s">
        <v>31</v>
      </c>
      <c r="AC40" s="688">
        <v>1620000</v>
      </c>
      <c r="AD40" s="689"/>
      <c r="AE40" s="689"/>
      <c r="AF40" s="72" t="s">
        <v>22</v>
      </c>
      <c r="AG40" s="689">
        <v>1621999</v>
      </c>
      <c r="AH40" s="689"/>
      <c r="AI40" s="692"/>
      <c r="AJ40" s="117" t="s">
        <v>178</v>
      </c>
      <c r="AK40" s="67"/>
      <c r="AL40" s="67"/>
      <c r="AM40" s="74">
        <v>0</v>
      </c>
      <c r="AN40" s="683" t="s">
        <v>179</v>
      </c>
      <c r="AO40" s="683"/>
      <c r="AP40" s="683"/>
      <c r="AQ40" s="73">
        <v>1</v>
      </c>
      <c r="AR40" s="95" t="s">
        <v>175</v>
      </c>
      <c r="AS40" s="95"/>
      <c r="AT40" s="82">
        <v>0</v>
      </c>
      <c r="AU40" s="67" t="s">
        <v>176</v>
      </c>
      <c r="AV40" s="67"/>
      <c r="AW40" s="75">
        <v>0</v>
      </c>
      <c r="AX40" s="95" t="s">
        <v>177</v>
      </c>
      <c r="AY40" s="686">
        <v>1070000</v>
      </c>
      <c r="AZ40" s="686"/>
      <c r="BA40" s="687"/>
      <c r="BB40" s="93"/>
      <c r="BC40" s="93" t="s">
        <v>35</v>
      </c>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13">
        <v>36</v>
      </c>
      <c r="CD40" s="93"/>
      <c r="CE40" s="93"/>
      <c r="CF40" s="93"/>
      <c r="CG40" s="93"/>
    </row>
    <row r="41" spans="2:85" ht="16.5" customHeight="1" thickBot="1" x14ac:dyDescent="0.2">
      <c r="B41" s="680" t="s">
        <v>109</v>
      </c>
      <c r="C41" s="680"/>
      <c r="D41" s="680"/>
      <c r="E41" s="680"/>
      <c r="F41" s="680"/>
      <c r="G41" s="680"/>
      <c r="H41" s="60"/>
      <c r="I41" s="680" t="s">
        <v>135</v>
      </c>
      <c r="J41" s="680"/>
      <c r="K41" s="680"/>
      <c r="L41" s="680"/>
      <c r="M41" s="680"/>
      <c r="N41" s="48" t="s">
        <v>121</v>
      </c>
      <c r="O41" s="669" t="str">
        <f>IF(H41="","",G38*H41/12)</f>
        <v/>
      </c>
      <c r="P41" s="669"/>
      <c r="Q41" s="669"/>
      <c r="R41" s="669"/>
      <c r="S41" s="384"/>
      <c r="T41" s="384"/>
      <c r="U41" s="384"/>
      <c r="V41" s="384"/>
      <c r="W41" s="384"/>
      <c r="X41" s="384"/>
      <c r="Y41" s="384"/>
      <c r="Z41" s="384"/>
      <c r="AA41" s="93"/>
      <c r="AB41" s="71" t="s">
        <v>32</v>
      </c>
      <c r="AC41" s="688">
        <v>1622000</v>
      </c>
      <c r="AD41" s="689"/>
      <c r="AE41" s="689"/>
      <c r="AF41" s="72" t="s">
        <v>22</v>
      </c>
      <c r="AG41" s="689">
        <v>1623999</v>
      </c>
      <c r="AH41" s="689"/>
      <c r="AI41" s="692"/>
      <c r="AJ41" s="117" t="s">
        <v>178</v>
      </c>
      <c r="AK41" s="67"/>
      <c r="AL41" s="67"/>
      <c r="AM41" s="74">
        <v>0</v>
      </c>
      <c r="AN41" s="683" t="s">
        <v>179</v>
      </c>
      <c r="AO41" s="683"/>
      <c r="AP41" s="683"/>
      <c r="AQ41" s="73">
        <v>1</v>
      </c>
      <c r="AR41" s="95" t="s">
        <v>175</v>
      </c>
      <c r="AS41" s="95"/>
      <c r="AT41" s="82">
        <v>0</v>
      </c>
      <c r="AU41" s="67" t="s">
        <v>176</v>
      </c>
      <c r="AV41" s="67"/>
      <c r="AW41" s="75">
        <v>0</v>
      </c>
      <c r="AX41" s="95" t="s">
        <v>177</v>
      </c>
      <c r="AY41" s="686">
        <v>1072000</v>
      </c>
      <c r="AZ41" s="686"/>
      <c r="BA41" s="687"/>
      <c r="BB41" s="93"/>
      <c r="BC41" s="7"/>
      <c r="BD41" s="108" t="s">
        <v>36</v>
      </c>
      <c r="BE41" s="109"/>
      <c r="BF41" s="109"/>
      <c r="BG41" s="109"/>
      <c r="BH41" s="109"/>
      <c r="BI41" s="109"/>
      <c r="BJ41" s="109"/>
      <c r="BK41" s="109"/>
      <c r="BL41" s="110"/>
      <c r="BM41" s="109" t="s">
        <v>37</v>
      </c>
      <c r="BN41" s="109"/>
      <c r="BO41" s="109"/>
      <c r="BP41" s="109"/>
      <c r="BQ41" s="109"/>
      <c r="BR41" s="109"/>
      <c r="BS41" s="109"/>
      <c r="BT41" s="109"/>
      <c r="BU41" s="109"/>
      <c r="BV41" s="109"/>
      <c r="BW41" s="110"/>
      <c r="BX41" s="93"/>
      <c r="BY41" s="93"/>
      <c r="BZ41" s="93"/>
      <c r="CA41" s="93"/>
      <c r="CB41" s="93"/>
      <c r="CC41" s="13">
        <v>37</v>
      </c>
      <c r="CD41" s="93"/>
      <c r="CE41" s="93"/>
      <c r="CF41" s="93"/>
      <c r="CG41" s="93"/>
    </row>
    <row r="42" spans="2:85" ht="16.5" customHeight="1" x14ac:dyDescent="0.15">
      <c r="S42" s="681"/>
      <c r="T42" s="681"/>
      <c r="U42" s="681"/>
      <c r="V42" s="681"/>
      <c r="W42" s="681"/>
      <c r="X42" s="681"/>
      <c r="Y42" s="681"/>
      <c r="Z42" s="681"/>
      <c r="AA42" s="93"/>
      <c r="AB42" s="71" t="s">
        <v>33</v>
      </c>
      <c r="AC42" s="688">
        <v>1624000</v>
      </c>
      <c r="AD42" s="689"/>
      <c r="AE42" s="689"/>
      <c r="AF42" s="72" t="s">
        <v>22</v>
      </c>
      <c r="AG42" s="689">
        <v>1627999</v>
      </c>
      <c r="AH42" s="689"/>
      <c r="AI42" s="692"/>
      <c r="AJ42" s="117" t="s">
        <v>178</v>
      </c>
      <c r="AK42" s="67"/>
      <c r="AL42" s="67"/>
      <c r="AM42" s="74">
        <v>0</v>
      </c>
      <c r="AN42" s="683" t="s">
        <v>179</v>
      </c>
      <c r="AO42" s="683"/>
      <c r="AP42" s="683"/>
      <c r="AQ42" s="73">
        <v>1</v>
      </c>
      <c r="AR42" s="95" t="s">
        <v>175</v>
      </c>
      <c r="AS42" s="95"/>
      <c r="AT42" s="82">
        <v>0</v>
      </c>
      <c r="AU42" s="67" t="s">
        <v>176</v>
      </c>
      <c r="AV42" s="67"/>
      <c r="AW42" s="75">
        <v>0</v>
      </c>
      <c r="AX42" s="95" t="s">
        <v>177</v>
      </c>
      <c r="AY42" s="686">
        <v>1074000</v>
      </c>
      <c r="AZ42" s="686"/>
      <c r="BA42" s="687"/>
      <c r="BB42" s="93"/>
      <c r="BC42" s="88" t="s">
        <v>27</v>
      </c>
      <c r="BD42" s="514">
        <v>0</v>
      </c>
      <c r="BE42" s="515"/>
      <c r="BF42" s="515"/>
      <c r="BG42" s="515"/>
      <c r="BH42" s="89" t="s">
        <v>22</v>
      </c>
      <c r="BI42" s="515">
        <v>0</v>
      </c>
      <c r="BJ42" s="515"/>
      <c r="BK42" s="515"/>
      <c r="BL42" s="516"/>
      <c r="BM42" s="111" t="s">
        <v>26</v>
      </c>
      <c r="BN42" s="111"/>
      <c r="BO42" s="111"/>
      <c r="BP42" s="517">
        <v>0</v>
      </c>
      <c r="BQ42" s="517"/>
      <c r="BR42" s="517"/>
      <c r="BS42" s="89" t="s">
        <v>39</v>
      </c>
      <c r="BT42" s="515">
        <v>0</v>
      </c>
      <c r="BU42" s="515"/>
      <c r="BV42" s="515"/>
      <c r="BW42" s="516"/>
      <c r="BX42" s="93"/>
      <c r="BY42" s="93"/>
      <c r="BZ42" s="93"/>
      <c r="CA42" s="93"/>
      <c r="CB42" s="93"/>
      <c r="CC42" s="13">
        <v>38</v>
      </c>
      <c r="CD42" s="93"/>
      <c r="CE42" s="93"/>
      <c r="CF42" s="93"/>
      <c r="CG42" s="93"/>
    </row>
    <row r="43" spans="2:85" ht="16.5" customHeight="1" thickBot="1" x14ac:dyDescent="0.2">
      <c r="B43" s="1" t="s">
        <v>124</v>
      </c>
      <c r="S43" s="50"/>
      <c r="T43" s="50"/>
      <c r="U43" s="50"/>
      <c r="V43" s="50"/>
      <c r="W43" s="50"/>
      <c r="X43" s="50"/>
      <c r="Y43" s="50"/>
      <c r="Z43" s="50"/>
      <c r="AA43" s="93"/>
      <c r="AB43" s="71" t="s">
        <v>34</v>
      </c>
      <c r="AC43" s="688">
        <v>1628000</v>
      </c>
      <c r="AD43" s="689"/>
      <c r="AE43" s="689"/>
      <c r="AF43" s="72" t="s">
        <v>22</v>
      </c>
      <c r="AG43" s="689">
        <v>1799999</v>
      </c>
      <c r="AH43" s="689"/>
      <c r="AI43" s="692"/>
      <c r="AJ43" s="117" t="s">
        <v>178</v>
      </c>
      <c r="AK43" s="67"/>
      <c r="AL43" s="67"/>
      <c r="AM43" s="74">
        <v>0</v>
      </c>
      <c r="AN43" s="683" t="s">
        <v>179</v>
      </c>
      <c r="AO43" s="683"/>
      <c r="AP43" s="683"/>
      <c r="AQ43" s="73">
        <v>4</v>
      </c>
      <c r="AR43" s="95" t="s">
        <v>175</v>
      </c>
      <c r="AS43" s="95"/>
      <c r="AT43" s="82">
        <v>-3</v>
      </c>
      <c r="AU43" s="67" t="s">
        <v>176</v>
      </c>
      <c r="AV43" s="67"/>
      <c r="AW43" s="75">
        <v>2.4</v>
      </c>
      <c r="AX43" s="95" t="s">
        <v>177</v>
      </c>
      <c r="AY43" s="686">
        <v>100000</v>
      </c>
      <c r="AZ43" s="686"/>
      <c r="BA43" s="687"/>
      <c r="BB43" s="93"/>
      <c r="BC43" s="90" t="s">
        <v>28</v>
      </c>
      <c r="BD43" s="465">
        <v>1</v>
      </c>
      <c r="BE43" s="466"/>
      <c r="BF43" s="466"/>
      <c r="BG43" s="466"/>
      <c r="BH43" s="6" t="s">
        <v>22</v>
      </c>
      <c r="BI43" s="466">
        <v>600000</v>
      </c>
      <c r="BJ43" s="466"/>
      <c r="BK43" s="466"/>
      <c r="BL43" s="507"/>
      <c r="BM43" s="112" t="s">
        <v>26</v>
      </c>
      <c r="BN43" s="112"/>
      <c r="BO43" s="112"/>
      <c r="BP43" s="506">
        <v>0</v>
      </c>
      <c r="BQ43" s="506"/>
      <c r="BR43" s="506"/>
      <c r="BS43" s="6" t="s">
        <v>38</v>
      </c>
      <c r="BT43" s="466">
        <v>0</v>
      </c>
      <c r="BU43" s="466"/>
      <c r="BV43" s="466"/>
      <c r="BW43" s="507"/>
      <c r="BX43" s="93"/>
      <c r="BY43" s="93"/>
      <c r="BZ43" s="93"/>
      <c r="CA43" s="93"/>
      <c r="CB43" s="93"/>
      <c r="CC43" s="13">
        <v>39</v>
      </c>
      <c r="CD43" s="93"/>
      <c r="CE43" s="93"/>
      <c r="CF43" s="93"/>
      <c r="CG43" s="93"/>
    </row>
    <row r="44" spans="2:85" ht="16.5" customHeight="1" thickBot="1" x14ac:dyDescent="0.2">
      <c r="B44" s="421"/>
      <c r="C44" s="422"/>
      <c r="D44" s="422"/>
      <c r="E44" s="422"/>
      <c r="F44" s="422"/>
      <c r="G44" s="423" t="s">
        <v>99</v>
      </c>
      <c r="H44" s="383"/>
      <c r="I44" s="383"/>
      <c r="J44" s="383"/>
      <c r="K44" s="383"/>
      <c r="L44" s="369" t="s">
        <v>102</v>
      </c>
      <c r="M44" s="370"/>
      <c r="N44" s="370"/>
      <c r="O44" s="370"/>
      <c r="P44" s="371"/>
      <c r="Q44" s="369" t="s">
        <v>102</v>
      </c>
      <c r="R44" s="370"/>
      <c r="S44" s="370"/>
      <c r="T44" s="370"/>
      <c r="U44" s="371"/>
      <c r="V44" s="383" t="s">
        <v>102</v>
      </c>
      <c r="W44" s="383"/>
      <c r="X44" s="383"/>
      <c r="Y44" s="383"/>
      <c r="Z44" s="383"/>
      <c r="AA44" s="93"/>
      <c r="AB44" s="71" t="s">
        <v>171</v>
      </c>
      <c r="AC44" s="688">
        <v>1800000</v>
      </c>
      <c r="AD44" s="689"/>
      <c r="AE44" s="689"/>
      <c r="AF44" s="72" t="s">
        <v>22</v>
      </c>
      <c r="AG44" s="689">
        <v>3599999</v>
      </c>
      <c r="AH44" s="689"/>
      <c r="AI44" s="692"/>
      <c r="AJ44" s="117" t="s">
        <v>178</v>
      </c>
      <c r="AK44" s="67"/>
      <c r="AL44" s="67"/>
      <c r="AM44" s="74">
        <v>0</v>
      </c>
      <c r="AN44" s="683" t="s">
        <v>179</v>
      </c>
      <c r="AO44" s="683"/>
      <c r="AP44" s="683"/>
      <c r="AQ44" s="73">
        <v>4</v>
      </c>
      <c r="AR44" s="95" t="s">
        <v>175</v>
      </c>
      <c r="AS44" s="95"/>
      <c r="AT44" s="82">
        <v>-3</v>
      </c>
      <c r="AU44" s="67" t="s">
        <v>176</v>
      </c>
      <c r="AV44" s="67"/>
      <c r="AW44" s="75">
        <v>2.8</v>
      </c>
      <c r="AX44" s="95" t="s">
        <v>177</v>
      </c>
      <c r="AY44" s="686">
        <v>-80000</v>
      </c>
      <c r="AZ44" s="686"/>
      <c r="BA44" s="687"/>
      <c r="BB44" s="93"/>
      <c r="BC44" s="90" t="s">
        <v>29</v>
      </c>
      <c r="BD44" s="465">
        <v>600001</v>
      </c>
      <c r="BE44" s="466"/>
      <c r="BF44" s="466"/>
      <c r="BG44" s="466"/>
      <c r="BH44" s="6" t="s">
        <v>22</v>
      </c>
      <c r="BI44" s="466">
        <v>1299999</v>
      </c>
      <c r="BJ44" s="466"/>
      <c r="BK44" s="466"/>
      <c r="BL44" s="507"/>
      <c r="BM44" s="112" t="s">
        <v>26</v>
      </c>
      <c r="BN44" s="112"/>
      <c r="BO44" s="112"/>
      <c r="BP44" s="506">
        <v>1</v>
      </c>
      <c r="BQ44" s="506"/>
      <c r="BR44" s="506"/>
      <c r="BS44" s="6" t="s">
        <v>38</v>
      </c>
      <c r="BT44" s="466">
        <v>600000</v>
      </c>
      <c r="BU44" s="466"/>
      <c r="BV44" s="466"/>
      <c r="BW44" s="507"/>
      <c r="BX44" s="93"/>
      <c r="BY44" s="93"/>
      <c r="BZ44" s="93"/>
      <c r="CA44" s="93"/>
      <c r="CB44" s="93"/>
      <c r="CC44" s="13">
        <v>40</v>
      </c>
      <c r="CD44" s="93"/>
      <c r="CE44" s="93"/>
      <c r="CF44" s="93"/>
      <c r="CG44" s="93"/>
    </row>
    <row r="45" spans="2:85" ht="16.5" customHeight="1" x14ac:dyDescent="0.15">
      <c r="B45" s="437" t="s">
        <v>93</v>
      </c>
      <c r="C45" s="438"/>
      <c r="D45" s="438"/>
      <c r="E45" s="438"/>
      <c r="F45" s="438"/>
      <c r="G45" s="424">
        <f>□!J15</f>
        <v>0</v>
      </c>
      <c r="H45" s="402"/>
      <c r="I45" s="402"/>
      <c r="J45" s="402"/>
      <c r="K45" s="402"/>
      <c r="L45" s="445">
        <f>□!J20</f>
        <v>0</v>
      </c>
      <c r="M45" s="446"/>
      <c r="N45" s="446"/>
      <c r="O45" s="446"/>
      <c r="P45" s="447"/>
      <c r="Q45" s="445">
        <f>□!J25</f>
        <v>0</v>
      </c>
      <c r="R45" s="446"/>
      <c r="S45" s="446"/>
      <c r="T45" s="446"/>
      <c r="U45" s="447"/>
      <c r="V45" s="402">
        <f>□!J30</f>
        <v>0</v>
      </c>
      <c r="W45" s="402"/>
      <c r="X45" s="402"/>
      <c r="Y45" s="402"/>
      <c r="Z45" s="402"/>
      <c r="AA45" s="93"/>
      <c r="AB45" s="71" t="s">
        <v>172</v>
      </c>
      <c r="AC45" s="688">
        <v>3600000</v>
      </c>
      <c r="AD45" s="689"/>
      <c r="AE45" s="689"/>
      <c r="AF45" s="72" t="s">
        <v>22</v>
      </c>
      <c r="AG45" s="689">
        <v>6599999</v>
      </c>
      <c r="AH45" s="689"/>
      <c r="AI45" s="692"/>
      <c r="AJ45" s="117" t="s">
        <v>178</v>
      </c>
      <c r="AK45" s="67"/>
      <c r="AL45" s="67"/>
      <c r="AM45" s="74">
        <v>0</v>
      </c>
      <c r="AN45" s="683" t="s">
        <v>179</v>
      </c>
      <c r="AO45" s="683"/>
      <c r="AP45" s="683"/>
      <c r="AQ45" s="73">
        <v>4</v>
      </c>
      <c r="AR45" s="95" t="s">
        <v>175</v>
      </c>
      <c r="AS45" s="95"/>
      <c r="AT45" s="82">
        <v>-3</v>
      </c>
      <c r="AU45" s="67" t="s">
        <v>176</v>
      </c>
      <c r="AV45" s="67"/>
      <c r="AW45" s="75">
        <v>3.2</v>
      </c>
      <c r="AX45" s="95" t="s">
        <v>177</v>
      </c>
      <c r="AY45" s="686">
        <v>-440000</v>
      </c>
      <c r="AZ45" s="686"/>
      <c r="BA45" s="687"/>
      <c r="BB45" s="93"/>
      <c r="BC45" s="90" t="s">
        <v>30</v>
      </c>
      <c r="BD45" s="465">
        <v>1300000</v>
      </c>
      <c r="BE45" s="466"/>
      <c r="BF45" s="466"/>
      <c r="BG45" s="466"/>
      <c r="BH45" s="6" t="s">
        <v>22</v>
      </c>
      <c r="BI45" s="466">
        <v>4099999</v>
      </c>
      <c r="BJ45" s="466"/>
      <c r="BK45" s="466"/>
      <c r="BL45" s="507"/>
      <c r="BM45" s="112" t="s">
        <v>26</v>
      </c>
      <c r="BN45" s="112"/>
      <c r="BO45" s="112"/>
      <c r="BP45" s="506">
        <v>0.75</v>
      </c>
      <c r="BQ45" s="506"/>
      <c r="BR45" s="506"/>
      <c r="BS45" s="6" t="s">
        <v>38</v>
      </c>
      <c r="BT45" s="466">
        <v>275000</v>
      </c>
      <c r="BU45" s="466"/>
      <c r="BV45" s="466"/>
      <c r="BW45" s="507"/>
      <c r="BX45" s="93"/>
      <c r="BY45" s="93"/>
      <c r="BZ45" s="93"/>
      <c r="CA45" s="93"/>
      <c r="CB45" s="93"/>
      <c r="CC45" s="13">
        <v>41</v>
      </c>
      <c r="CD45" s="93"/>
      <c r="CE45" s="93"/>
      <c r="CF45" s="93"/>
      <c r="CG45" s="93"/>
    </row>
    <row r="46" spans="2:85" ht="16.5" customHeight="1" thickBot="1" x14ac:dyDescent="0.2">
      <c r="B46" s="435" t="s">
        <v>94</v>
      </c>
      <c r="C46" s="436"/>
      <c r="D46" s="436"/>
      <c r="E46" s="436"/>
      <c r="F46" s="436"/>
      <c r="G46" s="403" cm="1">
        <f t="array" ref="G46">_xlfn.IFS(□!$R$16="軽減ナシ",□!J16,□!$R$16="７",■!J16,□!$R$16="５",■■!J16,□!$R$16="２",■■■!J16)</f>
        <v>0</v>
      </c>
      <c r="H46" s="404"/>
      <c r="I46" s="404"/>
      <c r="J46" s="404"/>
      <c r="K46" s="404"/>
      <c r="L46" s="403" cm="1">
        <f t="array" ref="L46">_xlfn.IFS(□!$R$16="軽減ナシ",□!J21,□!$R$16="７",■!J21,□!$R$16="５",■■!J21,□!$R$16="２",■■■!J21)</f>
        <v>0</v>
      </c>
      <c r="M46" s="404"/>
      <c r="N46" s="404"/>
      <c r="O46" s="404"/>
      <c r="P46" s="404"/>
      <c r="Q46" s="403" cm="1">
        <f t="array" ref="Q46">_xlfn.IFS(□!$R$16="軽減ナシ",□!J26,□!$R$16="７",■!J26,□!$R$16="５",■■!J26,□!$R$16="２",■■■!J26)</f>
        <v>0</v>
      </c>
      <c r="R46" s="404"/>
      <c r="S46" s="404"/>
      <c r="T46" s="404"/>
      <c r="U46" s="404"/>
      <c r="V46" s="403" cm="1">
        <f t="array" ref="V46">_xlfn.IFS(□!$R$16="軽減ナシ",□!J33,□!$R$16="７",■!J33,□!$R$16="５",■■!J33,□!$R$16="２",■■■!J33)</f>
        <v>0</v>
      </c>
      <c r="W46" s="404"/>
      <c r="X46" s="404"/>
      <c r="Y46" s="404"/>
      <c r="Z46" s="404"/>
      <c r="AA46" s="93"/>
      <c r="AB46" s="71" t="s">
        <v>173</v>
      </c>
      <c r="AC46" s="688">
        <v>6600000</v>
      </c>
      <c r="AD46" s="689"/>
      <c r="AE46" s="689"/>
      <c r="AF46" s="72" t="s">
        <v>22</v>
      </c>
      <c r="AG46" s="689">
        <v>8499999</v>
      </c>
      <c r="AH46" s="689"/>
      <c r="AI46" s="692"/>
      <c r="AJ46" s="117" t="s">
        <v>178</v>
      </c>
      <c r="AK46" s="67"/>
      <c r="AL46" s="67"/>
      <c r="AM46" s="74">
        <v>1</v>
      </c>
      <c r="AN46" s="683" t="s">
        <v>179</v>
      </c>
      <c r="AO46" s="683"/>
      <c r="AP46" s="683"/>
      <c r="AQ46" s="73">
        <v>10</v>
      </c>
      <c r="AR46" s="95" t="s">
        <v>175</v>
      </c>
      <c r="AS46" s="95"/>
      <c r="AT46" s="82">
        <v>0</v>
      </c>
      <c r="AU46" s="67" t="s">
        <v>176</v>
      </c>
      <c r="AV46" s="67"/>
      <c r="AW46" s="75">
        <v>-1</v>
      </c>
      <c r="AX46" s="95" t="s">
        <v>177</v>
      </c>
      <c r="AY46" s="686">
        <v>-1100000</v>
      </c>
      <c r="AZ46" s="686"/>
      <c r="BA46" s="687"/>
      <c r="BB46" s="93"/>
      <c r="BC46" s="90" t="s">
        <v>31</v>
      </c>
      <c r="BD46" s="465">
        <v>4100000</v>
      </c>
      <c r="BE46" s="466"/>
      <c r="BF46" s="466"/>
      <c r="BG46" s="466"/>
      <c r="BH46" s="6" t="s">
        <v>22</v>
      </c>
      <c r="BI46" s="466">
        <v>7699999</v>
      </c>
      <c r="BJ46" s="466"/>
      <c r="BK46" s="466"/>
      <c r="BL46" s="507"/>
      <c r="BM46" s="112" t="s">
        <v>26</v>
      </c>
      <c r="BN46" s="112"/>
      <c r="BO46" s="112"/>
      <c r="BP46" s="506">
        <v>0.85</v>
      </c>
      <c r="BQ46" s="506"/>
      <c r="BR46" s="506"/>
      <c r="BS46" s="6" t="s">
        <v>38</v>
      </c>
      <c r="BT46" s="466">
        <v>685000</v>
      </c>
      <c r="BU46" s="466"/>
      <c r="BV46" s="466"/>
      <c r="BW46" s="507"/>
      <c r="BX46" s="93"/>
      <c r="BY46" s="93"/>
      <c r="BZ46" s="93"/>
      <c r="CA46" s="93"/>
      <c r="CB46" s="93"/>
      <c r="CC46" s="13">
        <v>42</v>
      </c>
      <c r="CD46" s="93"/>
      <c r="CE46" s="93"/>
      <c r="CF46" s="93"/>
      <c r="CG46" s="93"/>
    </row>
    <row r="47" spans="2:85" ht="16.5" hidden="1" customHeight="1" thickBot="1" x14ac:dyDescent="0.2">
      <c r="B47" s="47"/>
      <c r="C47" s="433" t="s">
        <v>95</v>
      </c>
      <c r="D47" s="434"/>
      <c r="E47" s="434"/>
      <c r="F47" s="434"/>
      <c r="G47" s="425"/>
      <c r="H47" s="405"/>
      <c r="I47" s="405"/>
      <c r="J47" s="405"/>
      <c r="K47" s="405"/>
      <c r="L47" s="346"/>
      <c r="M47" s="347"/>
      <c r="N47" s="347"/>
      <c r="O47" s="347"/>
      <c r="P47" s="448"/>
      <c r="Q47" s="346"/>
      <c r="R47" s="347"/>
      <c r="S47" s="347"/>
      <c r="T47" s="347"/>
      <c r="U47" s="448"/>
      <c r="V47" s="405"/>
      <c r="W47" s="405"/>
      <c r="X47" s="405"/>
      <c r="Y47" s="405"/>
      <c r="Z47" s="405"/>
      <c r="AA47" s="93"/>
      <c r="AB47" s="80" t="s">
        <v>174</v>
      </c>
      <c r="AC47" s="690">
        <v>8500000</v>
      </c>
      <c r="AD47" s="691"/>
      <c r="AE47" s="691"/>
      <c r="AF47" s="81" t="s">
        <v>22</v>
      </c>
      <c r="AG47" s="693">
        <v>9999999999</v>
      </c>
      <c r="AH47" s="693"/>
      <c r="AI47" s="694"/>
      <c r="AJ47" s="118" t="s">
        <v>178</v>
      </c>
      <c r="AK47" s="78"/>
      <c r="AL47" s="78"/>
      <c r="AM47" s="76">
        <v>1</v>
      </c>
      <c r="AN47" s="695" t="s">
        <v>179</v>
      </c>
      <c r="AO47" s="695"/>
      <c r="AP47" s="695"/>
      <c r="AQ47" s="77">
        <v>1</v>
      </c>
      <c r="AR47" s="96" t="s">
        <v>175</v>
      </c>
      <c r="AS47" s="96"/>
      <c r="AT47" s="83">
        <v>0</v>
      </c>
      <c r="AU47" s="78" t="s">
        <v>176</v>
      </c>
      <c r="AV47" s="78"/>
      <c r="AW47" s="79">
        <v>0</v>
      </c>
      <c r="AX47" s="96" t="s">
        <v>177</v>
      </c>
      <c r="AY47" s="696">
        <v>-1950000</v>
      </c>
      <c r="AZ47" s="696"/>
      <c r="BA47" s="697"/>
      <c r="BB47" s="93"/>
      <c r="BC47" s="90" t="s">
        <v>32</v>
      </c>
      <c r="BD47" s="465">
        <v>7700000</v>
      </c>
      <c r="BE47" s="466"/>
      <c r="BF47" s="466"/>
      <c r="BG47" s="466"/>
      <c r="BH47" s="6" t="s">
        <v>22</v>
      </c>
      <c r="BI47" s="466">
        <v>9999999</v>
      </c>
      <c r="BJ47" s="466"/>
      <c r="BK47" s="466"/>
      <c r="BL47" s="507"/>
      <c r="BM47" s="112" t="s">
        <v>26</v>
      </c>
      <c r="BN47" s="112"/>
      <c r="BO47" s="112"/>
      <c r="BP47" s="506">
        <v>0.95</v>
      </c>
      <c r="BQ47" s="506"/>
      <c r="BR47" s="506"/>
      <c r="BS47" s="6" t="s">
        <v>38</v>
      </c>
      <c r="BT47" s="466">
        <v>1455000</v>
      </c>
      <c r="BU47" s="466"/>
      <c r="BV47" s="466"/>
      <c r="BW47" s="507"/>
      <c r="BX47" s="93"/>
      <c r="BY47" s="93"/>
      <c r="BZ47" s="93"/>
      <c r="CA47" s="93"/>
      <c r="CB47" s="93"/>
      <c r="CC47" s="13">
        <v>43</v>
      </c>
      <c r="CD47" s="93"/>
      <c r="CE47" s="93"/>
      <c r="CF47" s="93"/>
      <c r="CG47" s="93"/>
    </row>
    <row r="48" spans="2:85" ht="16.5" customHeight="1" thickTop="1" thickBot="1" x14ac:dyDescent="0.2">
      <c r="B48" s="439" t="s">
        <v>96</v>
      </c>
      <c r="C48" s="440"/>
      <c r="D48" s="440"/>
      <c r="E48" s="440"/>
      <c r="F48" s="440"/>
      <c r="G48" s="349">
        <f>ROUNDDOWN(G45+G46,-2)</f>
        <v>0</v>
      </c>
      <c r="H48" s="350"/>
      <c r="I48" s="350"/>
      <c r="J48" s="350"/>
      <c r="K48" s="350"/>
      <c r="L48" s="349">
        <f t="shared" ref="L48" si="25">ROUNDDOWN(L45+L46,-2)</f>
        <v>0</v>
      </c>
      <c r="M48" s="350"/>
      <c r="N48" s="350"/>
      <c r="O48" s="350"/>
      <c r="P48" s="350"/>
      <c r="Q48" s="349">
        <f t="shared" ref="Q48" si="26">ROUNDDOWN(Q45+Q46,-2)</f>
        <v>0</v>
      </c>
      <c r="R48" s="350"/>
      <c r="S48" s="350"/>
      <c r="T48" s="350"/>
      <c r="U48" s="350"/>
      <c r="V48" s="349">
        <f t="shared" ref="V48" si="27">ROUNDDOWN(V45+V46,-2)</f>
        <v>0</v>
      </c>
      <c r="W48" s="350"/>
      <c r="X48" s="350"/>
      <c r="Y48" s="350"/>
      <c r="Z48" s="350"/>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7"/>
      <c r="AY48" s="97"/>
      <c r="AZ48" s="97"/>
      <c r="BA48" s="97"/>
      <c r="BB48" s="93"/>
      <c r="BC48" s="9" t="s">
        <v>40</v>
      </c>
      <c r="BD48" s="508">
        <v>10000000</v>
      </c>
      <c r="BE48" s="509"/>
      <c r="BF48" s="509"/>
      <c r="BG48" s="509"/>
      <c r="BH48" s="10" t="s">
        <v>22</v>
      </c>
      <c r="BI48" s="509">
        <v>999999999</v>
      </c>
      <c r="BJ48" s="509"/>
      <c r="BK48" s="509"/>
      <c r="BL48" s="513"/>
      <c r="BM48" s="113" t="s">
        <v>26</v>
      </c>
      <c r="BN48" s="113"/>
      <c r="BO48" s="113"/>
      <c r="BP48" s="512">
        <v>1</v>
      </c>
      <c r="BQ48" s="512"/>
      <c r="BR48" s="512"/>
      <c r="BS48" s="10" t="s">
        <v>38</v>
      </c>
      <c r="BT48" s="509">
        <v>1955000</v>
      </c>
      <c r="BU48" s="509"/>
      <c r="BV48" s="509"/>
      <c r="BW48" s="513"/>
      <c r="BX48" s="93"/>
      <c r="BY48" s="93"/>
      <c r="BZ48" s="93"/>
      <c r="CA48" s="93"/>
      <c r="CB48" s="93"/>
      <c r="CC48" s="13">
        <v>44</v>
      </c>
      <c r="CD48" s="93"/>
      <c r="CE48" s="93"/>
      <c r="CF48" s="93"/>
      <c r="CG48" s="93"/>
    </row>
    <row r="49" spans="2:81" ht="16.5" customHeight="1" thickBot="1" x14ac:dyDescent="0.2">
      <c r="B49" s="421" t="s">
        <v>97</v>
      </c>
      <c r="C49" s="422"/>
      <c r="D49" s="422"/>
      <c r="E49" s="422"/>
      <c r="F49" s="422"/>
      <c r="G49" s="419">
        <f>IF(G48&gt;660000,G48-660000,0)</f>
        <v>0</v>
      </c>
      <c r="H49" s="420"/>
      <c r="I49" s="420"/>
      <c r="J49" s="420"/>
      <c r="K49" s="420"/>
      <c r="L49" s="419">
        <f>IF(L48&gt;260000,L48-260000,0)</f>
        <v>0</v>
      </c>
      <c r="M49" s="420"/>
      <c r="N49" s="420"/>
      <c r="O49" s="420"/>
      <c r="P49" s="420"/>
      <c r="Q49" s="419">
        <f>IF(Q48&gt;170000,Q48-170000,0)</f>
        <v>0</v>
      </c>
      <c r="R49" s="420"/>
      <c r="S49" s="420"/>
      <c r="T49" s="420"/>
      <c r="U49" s="420"/>
      <c r="V49" s="419">
        <f>IF(V48&gt;30000,V48-30000,0)</f>
        <v>0</v>
      </c>
      <c r="W49" s="420"/>
      <c r="X49" s="420"/>
      <c r="Y49" s="420"/>
      <c r="Z49" s="420"/>
      <c r="AA49" s="93"/>
      <c r="CC49" s="13">
        <v>45</v>
      </c>
    </row>
    <row r="50" spans="2:81" ht="16.5" hidden="1" customHeight="1" thickBot="1" x14ac:dyDescent="0.2">
      <c r="B50" s="429" t="s">
        <v>134</v>
      </c>
      <c r="C50" s="430"/>
      <c r="D50" s="430"/>
      <c r="E50" s="430"/>
      <c r="F50" s="430"/>
      <c r="G50" s="444"/>
      <c r="H50" s="426"/>
      <c r="I50" s="426"/>
      <c r="J50" s="426"/>
      <c r="K50" s="426"/>
      <c r="L50" s="441"/>
      <c r="M50" s="442"/>
      <c r="N50" s="442"/>
      <c r="O50" s="442"/>
      <c r="P50" s="443"/>
      <c r="Q50" s="441"/>
      <c r="R50" s="442"/>
      <c r="S50" s="442"/>
      <c r="T50" s="442"/>
      <c r="U50" s="443"/>
      <c r="V50" s="426"/>
      <c r="W50" s="426"/>
      <c r="X50" s="426"/>
      <c r="Y50" s="426"/>
      <c r="Z50" s="426"/>
      <c r="AC50" s="1" t="s">
        <v>3</v>
      </c>
      <c r="BC50" s="1" t="s">
        <v>41</v>
      </c>
      <c r="CC50" s="13">
        <v>46</v>
      </c>
    </row>
    <row r="51" spans="2:81" ht="16.5" customHeight="1" thickTop="1" thickBot="1" x14ac:dyDescent="0.2">
      <c r="B51" s="431" t="s">
        <v>98</v>
      </c>
      <c r="C51" s="432"/>
      <c r="D51" s="432"/>
      <c r="E51" s="432"/>
      <c r="F51" s="432"/>
      <c r="G51" s="427">
        <f>IF(G48&gt;660000,G48-G49,G48)</f>
        <v>0</v>
      </c>
      <c r="H51" s="428"/>
      <c r="I51" s="428"/>
      <c r="J51" s="428"/>
      <c r="K51" s="428"/>
      <c r="L51" s="427">
        <f>IF(L48&gt;260000,L48-L49,L48)</f>
        <v>0</v>
      </c>
      <c r="M51" s="428"/>
      <c r="N51" s="428"/>
      <c r="O51" s="428"/>
      <c r="P51" s="428"/>
      <c r="Q51" s="427">
        <f>IF(Q48&gt;170000,Q48-Q49,Q48)</f>
        <v>0</v>
      </c>
      <c r="R51" s="428"/>
      <c r="S51" s="428"/>
      <c r="T51" s="428"/>
      <c r="U51" s="428"/>
      <c r="V51" s="427">
        <f>IF(V48&gt;30000,V48-V49,V48)</f>
        <v>0</v>
      </c>
      <c r="W51" s="428"/>
      <c r="X51" s="428"/>
      <c r="Y51" s="428"/>
      <c r="Z51" s="428"/>
      <c r="AC51" s="1" t="s">
        <v>4</v>
      </c>
      <c r="BC51" s="7"/>
      <c r="BD51" s="518" t="s">
        <v>36</v>
      </c>
      <c r="BE51" s="338"/>
      <c r="BF51" s="338"/>
      <c r="BG51" s="338"/>
      <c r="BH51" s="338"/>
      <c r="BI51" s="338"/>
      <c r="BJ51" s="338"/>
      <c r="BK51" s="338"/>
      <c r="BL51" s="339"/>
      <c r="BM51" s="338" t="s">
        <v>37</v>
      </c>
      <c r="BN51" s="338"/>
      <c r="BO51" s="338"/>
      <c r="BP51" s="338"/>
      <c r="BQ51" s="338"/>
      <c r="BR51" s="338"/>
      <c r="BS51" s="338"/>
      <c r="BT51" s="338"/>
      <c r="BU51" s="338"/>
      <c r="BV51" s="338"/>
      <c r="BW51" s="339"/>
      <c r="CC51" s="13">
        <v>47</v>
      </c>
    </row>
    <row r="52" spans="2:81" ht="16.5" customHeight="1" thickTop="1" x14ac:dyDescent="0.15">
      <c r="V52" s="123"/>
      <c r="W52" s="123"/>
      <c r="X52" s="123"/>
      <c r="Y52" s="123"/>
      <c r="Z52" s="123"/>
      <c r="AC52" s="84" t="s">
        <v>181</v>
      </c>
      <c r="BC52" s="11" t="s">
        <v>27</v>
      </c>
      <c r="BD52" s="514">
        <v>0</v>
      </c>
      <c r="BE52" s="515"/>
      <c r="BF52" s="515"/>
      <c r="BG52" s="515"/>
      <c r="BH52" s="12" t="s">
        <v>22</v>
      </c>
      <c r="BI52" s="515">
        <v>0</v>
      </c>
      <c r="BJ52" s="515"/>
      <c r="BK52" s="515"/>
      <c r="BL52" s="516"/>
      <c r="BM52" s="519" t="s">
        <v>26</v>
      </c>
      <c r="BN52" s="519"/>
      <c r="BO52" s="519"/>
      <c r="BP52" s="517">
        <v>0</v>
      </c>
      <c r="BQ52" s="517"/>
      <c r="BR52" s="517"/>
      <c r="BS52" s="12" t="s">
        <v>39</v>
      </c>
      <c r="BT52" s="515">
        <v>0</v>
      </c>
      <c r="BU52" s="515"/>
      <c r="BV52" s="515"/>
      <c r="BW52" s="516"/>
      <c r="CC52" s="13">
        <v>48</v>
      </c>
    </row>
    <row r="53" spans="2:81" ht="16.5" customHeight="1" x14ac:dyDescent="0.15">
      <c r="V53" s="123"/>
      <c r="W53" s="123"/>
      <c r="X53" s="123"/>
      <c r="Y53" s="123"/>
      <c r="Z53" s="123"/>
      <c r="BC53" s="8" t="s">
        <v>28</v>
      </c>
      <c r="BD53" s="465">
        <v>1</v>
      </c>
      <c r="BE53" s="466"/>
      <c r="BF53" s="466"/>
      <c r="BG53" s="466"/>
      <c r="BH53" s="6" t="s">
        <v>22</v>
      </c>
      <c r="BI53" s="466">
        <v>1100000</v>
      </c>
      <c r="BJ53" s="466"/>
      <c r="BK53" s="466"/>
      <c r="BL53" s="507"/>
      <c r="BM53" s="520" t="s">
        <v>26</v>
      </c>
      <c r="BN53" s="520"/>
      <c r="BO53" s="520"/>
      <c r="BP53" s="506">
        <v>0</v>
      </c>
      <c r="BQ53" s="506"/>
      <c r="BR53" s="506"/>
      <c r="BS53" s="6" t="s">
        <v>38</v>
      </c>
      <c r="BT53" s="466">
        <v>0</v>
      </c>
      <c r="BU53" s="466"/>
      <c r="BV53" s="466"/>
      <c r="BW53" s="507"/>
      <c r="CC53" s="13">
        <v>49</v>
      </c>
    </row>
    <row r="54" spans="2:81" ht="16.5" customHeight="1" x14ac:dyDescent="0.15">
      <c r="V54" s="123"/>
      <c r="W54" s="123"/>
      <c r="X54" s="123"/>
      <c r="Y54" s="123"/>
      <c r="Z54" s="123"/>
      <c r="BC54" s="8" t="s">
        <v>29</v>
      </c>
      <c r="BD54" s="465">
        <v>1100001</v>
      </c>
      <c r="BE54" s="466"/>
      <c r="BF54" s="466"/>
      <c r="BG54" s="466"/>
      <c r="BH54" s="6" t="s">
        <v>22</v>
      </c>
      <c r="BI54" s="466">
        <v>3299999</v>
      </c>
      <c r="BJ54" s="466"/>
      <c r="BK54" s="466"/>
      <c r="BL54" s="507"/>
      <c r="BM54" s="520" t="s">
        <v>26</v>
      </c>
      <c r="BN54" s="520"/>
      <c r="BO54" s="520"/>
      <c r="BP54" s="506">
        <v>1</v>
      </c>
      <c r="BQ54" s="506"/>
      <c r="BR54" s="506"/>
      <c r="BS54" s="6" t="s">
        <v>38</v>
      </c>
      <c r="BT54" s="466">
        <v>1100000</v>
      </c>
      <c r="BU54" s="466"/>
      <c r="BV54" s="466"/>
      <c r="BW54" s="507"/>
      <c r="CC54" s="13">
        <v>50</v>
      </c>
    </row>
    <row r="55" spans="2:81" ht="16.5" customHeight="1" x14ac:dyDescent="0.15">
      <c r="V55" s="123"/>
      <c r="W55" s="123"/>
      <c r="X55" s="123"/>
      <c r="Y55" s="123"/>
      <c r="Z55" s="123"/>
      <c r="BC55" s="8" t="s">
        <v>30</v>
      </c>
      <c r="BD55" s="465">
        <v>3300000</v>
      </c>
      <c r="BE55" s="466"/>
      <c r="BF55" s="466"/>
      <c r="BG55" s="466"/>
      <c r="BH55" s="6" t="s">
        <v>22</v>
      </c>
      <c r="BI55" s="466">
        <v>4099999</v>
      </c>
      <c r="BJ55" s="466"/>
      <c r="BK55" s="466"/>
      <c r="BL55" s="507"/>
      <c r="BM55" s="520" t="s">
        <v>26</v>
      </c>
      <c r="BN55" s="520"/>
      <c r="BO55" s="520"/>
      <c r="BP55" s="506">
        <v>0.75</v>
      </c>
      <c r="BQ55" s="506"/>
      <c r="BR55" s="506"/>
      <c r="BS55" s="6" t="s">
        <v>38</v>
      </c>
      <c r="BT55" s="466">
        <v>275000</v>
      </c>
      <c r="BU55" s="466"/>
      <c r="BV55" s="466"/>
      <c r="BW55" s="507"/>
      <c r="CC55" s="13">
        <v>51</v>
      </c>
    </row>
    <row r="56" spans="2:81" ht="16.5" customHeight="1" x14ac:dyDescent="0.15">
      <c r="BC56" s="8" t="s">
        <v>31</v>
      </c>
      <c r="BD56" s="465">
        <v>4100000</v>
      </c>
      <c r="BE56" s="466"/>
      <c r="BF56" s="466"/>
      <c r="BG56" s="466"/>
      <c r="BH56" s="6" t="s">
        <v>22</v>
      </c>
      <c r="BI56" s="466">
        <v>7699999</v>
      </c>
      <c r="BJ56" s="466"/>
      <c r="BK56" s="466"/>
      <c r="BL56" s="507"/>
      <c r="BM56" s="520" t="s">
        <v>26</v>
      </c>
      <c r="BN56" s="520"/>
      <c r="BO56" s="520"/>
      <c r="BP56" s="506">
        <v>0.85</v>
      </c>
      <c r="BQ56" s="506"/>
      <c r="BR56" s="506"/>
      <c r="BS56" s="6" t="s">
        <v>38</v>
      </c>
      <c r="BT56" s="466">
        <v>685000</v>
      </c>
      <c r="BU56" s="466"/>
      <c r="BV56" s="466"/>
      <c r="BW56" s="507"/>
      <c r="CC56" s="13">
        <v>52</v>
      </c>
    </row>
    <row r="57" spans="2:81" ht="16.5" customHeight="1" x14ac:dyDescent="0.15">
      <c r="BC57" s="8" t="s">
        <v>32</v>
      </c>
      <c r="BD57" s="465">
        <v>7700000</v>
      </c>
      <c r="BE57" s="466"/>
      <c r="BF57" s="466"/>
      <c r="BG57" s="466"/>
      <c r="BH57" s="6" t="s">
        <v>22</v>
      </c>
      <c r="BI57" s="466">
        <v>9999999</v>
      </c>
      <c r="BJ57" s="466"/>
      <c r="BK57" s="466"/>
      <c r="BL57" s="507"/>
      <c r="BM57" s="520" t="s">
        <v>26</v>
      </c>
      <c r="BN57" s="520"/>
      <c r="BO57" s="520"/>
      <c r="BP57" s="506">
        <v>0.95</v>
      </c>
      <c r="BQ57" s="506"/>
      <c r="BR57" s="506"/>
      <c r="BS57" s="6" t="s">
        <v>38</v>
      </c>
      <c r="BT57" s="466">
        <v>1455000</v>
      </c>
      <c r="BU57" s="466"/>
      <c r="BV57" s="466"/>
      <c r="BW57" s="507"/>
      <c r="CC57" s="13">
        <v>53</v>
      </c>
    </row>
    <row r="58" spans="2:81" ht="16.5" customHeight="1" thickBot="1" x14ac:dyDescent="0.2">
      <c r="BC58" s="9" t="s">
        <v>40</v>
      </c>
      <c r="BD58" s="508">
        <v>10000000</v>
      </c>
      <c r="BE58" s="509"/>
      <c r="BF58" s="509"/>
      <c r="BG58" s="509"/>
      <c r="BH58" s="10" t="s">
        <v>22</v>
      </c>
      <c r="BI58" s="509">
        <v>999999999</v>
      </c>
      <c r="BJ58" s="509"/>
      <c r="BK58" s="509"/>
      <c r="BL58" s="513"/>
      <c r="BM58" s="521" t="s">
        <v>26</v>
      </c>
      <c r="BN58" s="521"/>
      <c r="BO58" s="521"/>
      <c r="BP58" s="512">
        <v>1</v>
      </c>
      <c r="BQ58" s="512"/>
      <c r="BR58" s="512"/>
      <c r="BS58" s="10" t="s">
        <v>38</v>
      </c>
      <c r="BT58" s="509">
        <v>1955000</v>
      </c>
      <c r="BU58" s="509"/>
      <c r="BV58" s="509"/>
      <c r="BW58" s="513"/>
      <c r="CC58" s="13">
        <v>54</v>
      </c>
    </row>
    <row r="59" spans="2:81" ht="16.5" customHeight="1" x14ac:dyDescent="0.15">
      <c r="CC59" s="13">
        <v>55</v>
      </c>
    </row>
    <row r="60" spans="2:81" ht="16.5" customHeight="1" x14ac:dyDescent="0.15">
      <c r="CC60" s="13">
        <v>56</v>
      </c>
    </row>
    <row r="61" spans="2:81" ht="16.5" customHeight="1" x14ac:dyDescent="0.15">
      <c r="CC61" s="13">
        <v>57</v>
      </c>
    </row>
    <row r="62" spans="2:81" ht="16.5" customHeight="1" x14ac:dyDescent="0.15">
      <c r="CC62" s="13">
        <v>58</v>
      </c>
    </row>
    <row r="63" spans="2:81" ht="16.5" customHeight="1" x14ac:dyDescent="0.15">
      <c r="CC63" s="13">
        <v>59</v>
      </c>
    </row>
    <row r="64" spans="2:81" ht="16.5" customHeight="1" x14ac:dyDescent="0.15">
      <c r="CC64" s="13">
        <v>60</v>
      </c>
    </row>
    <row r="65" spans="81:81" ht="16.5" customHeight="1" x14ac:dyDescent="0.15">
      <c r="CC65" s="13">
        <v>61</v>
      </c>
    </row>
    <row r="66" spans="81:81" ht="16.5" customHeight="1" x14ac:dyDescent="0.15">
      <c r="CC66" s="13">
        <v>62</v>
      </c>
    </row>
    <row r="67" spans="81:81" ht="16.5" customHeight="1" x14ac:dyDescent="0.15">
      <c r="CC67" s="13">
        <v>63</v>
      </c>
    </row>
    <row r="68" spans="81:81" ht="16.5" customHeight="1" x14ac:dyDescent="0.15">
      <c r="CC68" s="13">
        <v>64</v>
      </c>
    </row>
    <row r="69" spans="81:81" ht="16.5" customHeight="1" x14ac:dyDescent="0.15">
      <c r="CC69" s="13">
        <v>65</v>
      </c>
    </row>
    <row r="70" spans="81:81" ht="16.5" customHeight="1" x14ac:dyDescent="0.15">
      <c r="CC70" s="13">
        <v>66</v>
      </c>
    </row>
    <row r="71" spans="81:81" ht="16.5" customHeight="1" x14ac:dyDescent="0.15">
      <c r="CC71" s="13">
        <v>67</v>
      </c>
    </row>
    <row r="72" spans="81:81" ht="16.5" customHeight="1" x14ac:dyDescent="0.15">
      <c r="CC72" s="13">
        <v>68</v>
      </c>
    </row>
    <row r="73" spans="81:81" ht="16.5" customHeight="1" x14ac:dyDescent="0.15">
      <c r="CC73" s="13">
        <v>69</v>
      </c>
    </row>
    <row r="74" spans="81:81" ht="16.5" customHeight="1" x14ac:dyDescent="0.15">
      <c r="CC74" s="13">
        <v>70</v>
      </c>
    </row>
    <row r="75" spans="81:81" ht="16.5" customHeight="1" x14ac:dyDescent="0.15">
      <c r="CC75" s="13">
        <v>71</v>
      </c>
    </row>
    <row r="76" spans="81:81" ht="16.5" customHeight="1" x14ac:dyDescent="0.15">
      <c r="CC76" s="13">
        <v>72</v>
      </c>
    </row>
    <row r="77" spans="81:81" ht="16.5" customHeight="1" x14ac:dyDescent="0.15">
      <c r="CC77" s="13">
        <v>73</v>
      </c>
    </row>
    <row r="78" spans="81:81" ht="16.5" customHeight="1" x14ac:dyDescent="0.15">
      <c r="CC78" s="13">
        <v>74</v>
      </c>
    </row>
    <row r="79" spans="81:81" ht="16.5" customHeight="1" x14ac:dyDescent="0.15">
      <c r="CC79" s="13">
        <v>75</v>
      </c>
    </row>
    <row r="80" spans="81:81" ht="16.5" customHeight="1" x14ac:dyDescent="0.15">
      <c r="CC80" s="13">
        <v>76</v>
      </c>
    </row>
    <row r="81" spans="81:81" ht="16.5" customHeight="1" x14ac:dyDescent="0.15">
      <c r="CC81" s="13">
        <v>77</v>
      </c>
    </row>
    <row r="82" spans="81:81" ht="16.5" customHeight="1" x14ac:dyDescent="0.15">
      <c r="CC82" s="13">
        <v>78</v>
      </c>
    </row>
    <row r="83" spans="81:81" ht="16.5" customHeight="1" x14ac:dyDescent="0.15">
      <c r="CC83" s="13">
        <v>79</v>
      </c>
    </row>
    <row r="84" spans="81:81" ht="16.5" customHeight="1" x14ac:dyDescent="0.15">
      <c r="CC84" s="13">
        <v>80</v>
      </c>
    </row>
    <row r="85" spans="81:81" ht="16.5" customHeight="1" x14ac:dyDescent="0.15">
      <c r="CC85" s="13">
        <v>81</v>
      </c>
    </row>
    <row r="86" spans="81:81" ht="16.5" customHeight="1" x14ac:dyDescent="0.15">
      <c r="CC86" s="13">
        <v>82</v>
      </c>
    </row>
    <row r="87" spans="81:81" ht="16.5" customHeight="1" x14ac:dyDescent="0.15">
      <c r="CC87" s="13">
        <v>83</v>
      </c>
    </row>
    <row r="88" spans="81:81" ht="16.5" customHeight="1" x14ac:dyDescent="0.15">
      <c r="CC88" s="13">
        <v>84</v>
      </c>
    </row>
    <row r="89" spans="81:81" ht="16.5" customHeight="1" x14ac:dyDescent="0.15">
      <c r="CC89" s="13">
        <v>85</v>
      </c>
    </row>
    <row r="90" spans="81:81" ht="16.5" customHeight="1" x14ac:dyDescent="0.15">
      <c r="CC90" s="13">
        <v>86</v>
      </c>
    </row>
    <row r="91" spans="81:81" ht="16.5" customHeight="1" x14ac:dyDescent="0.15">
      <c r="CC91" s="13">
        <v>87</v>
      </c>
    </row>
    <row r="92" spans="81:81" ht="16.5" customHeight="1" x14ac:dyDescent="0.15">
      <c r="CC92" s="13">
        <v>88</v>
      </c>
    </row>
    <row r="93" spans="81:81" ht="16.5" customHeight="1" x14ac:dyDescent="0.15">
      <c r="CC93" s="13">
        <v>89</v>
      </c>
    </row>
    <row r="94" spans="81:81" ht="16.5" customHeight="1" x14ac:dyDescent="0.15">
      <c r="CC94" s="13">
        <v>90</v>
      </c>
    </row>
    <row r="95" spans="81:81" ht="16.5" customHeight="1" x14ac:dyDescent="0.15">
      <c r="CC95" s="13">
        <v>91</v>
      </c>
    </row>
    <row r="96" spans="81:81" ht="16.5" customHeight="1" x14ac:dyDescent="0.15">
      <c r="CC96" s="13">
        <v>92</v>
      </c>
    </row>
    <row r="97" spans="81:81" ht="16.5" customHeight="1" x14ac:dyDescent="0.15">
      <c r="CC97" s="13">
        <v>93</v>
      </c>
    </row>
    <row r="98" spans="81:81" ht="16.5" customHeight="1" x14ac:dyDescent="0.15">
      <c r="CC98" s="13">
        <v>94</v>
      </c>
    </row>
    <row r="99" spans="81:81" ht="16.5" customHeight="1" x14ac:dyDescent="0.15">
      <c r="CC99" s="13">
        <v>95</v>
      </c>
    </row>
    <row r="100" spans="81:81" ht="16.5" customHeight="1" x14ac:dyDescent="0.15">
      <c r="CC100" s="13">
        <v>96</v>
      </c>
    </row>
    <row r="101" spans="81:81" ht="16.5" customHeight="1" x14ac:dyDescent="0.15">
      <c r="CC101" s="13">
        <v>97</v>
      </c>
    </row>
    <row r="102" spans="81:81" ht="16.5" customHeight="1" x14ac:dyDescent="0.15">
      <c r="CC102" s="13">
        <v>98</v>
      </c>
    </row>
    <row r="103" spans="81:81" ht="16.5" customHeight="1" x14ac:dyDescent="0.15">
      <c r="CC103" s="13">
        <v>99</v>
      </c>
    </row>
    <row r="104" spans="81:81" ht="16.5" customHeight="1" x14ac:dyDescent="0.15">
      <c r="CC104" s="13">
        <v>100</v>
      </c>
    </row>
    <row r="105" spans="81:81" ht="16.5" customHeight="1" x14ac:dyDescent="0.15">
      <c r="CC105" s="13">
        <v>101</v>
      </c>
    </row>
    <row r="106" spans="81:81" ht="16.5" customHeight="1" x14ac:dyDescent="0.15">
      <c r="CC106" s="13">
        <v>102</v>
      </c>
    </row>
    <row r="107" spans="81:81" ht="16.5" customHeight="1" x14ac:dyDescent="0.15">
      <c r="CC107" s="13">
        <v>103</v>
      </c>
    </row>
    <row r="108" spans="81:81" ht="16.5" customHeight="1" x14ac:dyDescent="0.15">
      <c r="CC108" s="13">
        <v>104</v>
      </c>
    </row>
    <row r="109" spans="81:81" ht="16.5" customHeight="1" x14ac:dyDescent="0.15">
      <c r="CC109" s="13">
        <v>105</v>
      </c>
    </row>
    <row r="110" spans="81:81" ht="16.5" customHeight="1" x14ac:dyDescent="0.15">
      <c r="CC110" s="13">
        <v>106</v>
      </c>
    </row>
    <row r="111" spans="81:81" ht="16.5" customHeight="1" x14ac:dyDescent="0.15">
      <c r="CC111" s="13">
        <v>107</v>
      </c>
    </row>
    <row r="112" spans="81:81" ht="16.5" customHeight="1" x14ac:dyDescent="0.15">
      <c r="CC112" s="13">
        <v>108</v>
      </c>
    </row>
    <row r="113" spans="81:81" ht="16.5" customHeight="1" x14ac:dyDescent="0.15">
      <c r="CC113" s="13">
        <v>109</v>
      </c>
    </row>
    <row r="114" spans="81:81" ht="16.5" customHeight="1" x14ac:dyDescent="0.15">
      <c r="CC114" s="13">
        <v>110</v>
      </c>
    </row>
    <row r="115" spans="81:81" ht="16.5" customHeight="1" x14ac:dyDescent="0.15">
      <c r="CC115" s="13">
        <v>111</v>
      </c>
    </row>
    <row r="116" spans="81:81" ht="16.5" customHeight="1" x14ac:dyDescent="0.15">
      <c r="CC116" s="13">
        <v>112</v>
      </c>
    </row>
    <row r="117" spans="81:81" ht="16.5" customHeight="1" x14ac:dyDescent="0.15">
      <c r="CC117" s="13">
        <v>113</v>
      </c>
    </row>
    <row r="118" spans="81:81" ht="16.5" customHeight="1" x14ac:dyDescent="0.15">
      <c r="CC118" s="13">
        <v>114</v>
      </c>
    </row>
    <row r="119" spans="81:81" ht="16.5" customHeight="1" x14ac:dyDescent="0.15">
      <c r="CC119" s="13">
        <v>115</v>
      </c>
    </row>
    <row r="120" spans="81:81" ht="16.5" customHeight="1" x14ac:dyDescent="0.15">
      <c r="CC120" s="13">
        <v>116</v>
      </c>
    </row>
    <row r="121" spans="81:81" ht="16.5" customHeight="1" x14ac:dyDescent="0.15">
      <c r="CC121" s="13">
        <v>117</v>
      </c>
    </row>
    <row r="122" spans="81:81" ht="16.5" customHeight="1" x14ac:dyDescent="0.15">
      <c r="CC122" s="13">
        <v>118</v>
      </c>
    </row>
    <row r="123" spans="81:81" ht="16.5" customHeight="1" x14ac:dyDescent="0.15">
      <c r="CC123" s="13">
        <v>119</v>
      </c>
    </row>
    <row r="124" spans="81:81" ht="16.5" customHeight="1" x14ac:dyDescent="0.15">
      <c r="CC124" s="13">
        <v>120</v>
      </c>
    </row>
  </sheetData>
  <sheetProtection algorithmName="SHA-512" hashValue="kd4Q78l6UNGDRcYo7id45XolkIFsNhaNkvlQPK9ily4xNtcID8GjdB6RiFsAMK1CnYG06T/q7qYxDJsb85qENg==" saltValue="mc2OrhloMqwOuL1C0R3R9w==" spinCount="100000" sheet="1" objects="1" scenarios="1"/>
  <protectedRanges>
    <protectedRange sqref="H41 B34:Z34 B21:Z28" name="範囲1"/>
  </protectedRanges>
  <mergeCells count="592">
    <mergeCell ref="AN39:AP39"/>
    <mergeCell ref="AY39:BA39"/>
    <mergeCell ref="AY40:BA40"/>
    <mergeCell ref="AN41:AP41"/>
    <mergeCell ref="AY41:BA41"/>
    <mergeCell ref="AC37:AE37"/>
    <mergeCell ref="AC36:AE36"/>
    <mergeCell ref="AC38:AE38"/>
    <mergeCell ref="AC39:AE39"/>
    <mergeCell ref="AG36:AI36"/>
    <mergeCell ref="AG37:AI37"/>
    <mergeCell ref="AG38:AI38"/>
    <mergeCell ref="AG39:AI39"/>
    <mergeCell ref="AC40:AE40"/>
    <mergeCell ref="AY46:BA46"/>
    <mergeCell ref="AN47:AP47"/>
    <mergeCell ref="AY47:BA47"/>
    <mergeCell ref="AY42:BA42"/>
    <mergeCell ref="AN43:AP43"/>
    <mergeCell ref="AY43:BA43"/>
    <mergeCell ref="AN44:AP44"/>
    <mergeCell ref="AY44:BA44"/>
    <mergeCell ref="AN45:AP45"/>
    <mergeCell ref="AY45:BA45"/>
    <mergeCell ref="AN42:AP42"/>
    <mergeCell ref="AN46:AP46"/>
    <mergeCell ref="AC43:AE43"/>
    <mergeCell ref="AC44:AE44"/>
    <mergeCell ref="AC45:AE45"/>
    <mergeCell ref="AC46:AE46"/>
    <mergeCell ref="AC47:AE47"/>
    <mergeCell ref="AG40:AI40"/>
    <mergeCell ref="AG41:AI41"/>
    <mergeCell ref="AG45:AI45"/>
    <mergeCell ref="AG46:AI46"/>
    <mergeCell ref="AG47:AI47"/>
    <mergeCell ref="AG42:AI42"/>
    <mergeCell ref="AG43:AI43"/>
    <mergeCell ref="AG44:AI44"/>
    <mergeCell ref="AC41:AE41"/>
    <mergeCell ref="AC42:AE42"/>
    <mergeCell ref="AJ35:BA35"/>
    <mergeCell ref="M39:Q39"/>
    <mergeCell ref="O41:R41"/>
    <mergeCell ref="B2:Z3"/>
    <mergeCell ref="G11:Z11"/>
    <mergeCell ref="G7:Z7"/>
    <mergeCell ref="G5:Z5"/>
    <mergeCell ref="G12:Z14"/>
    <mergeCell ref="G6:Z6"/>
    <mergeCell ref="C17:Z17"/>
    <mergeCell ref="C18:Z18"/>
    <mergeCell ref="I41:M41"/>
    <mergeCell ref="B41:G41"/>
    <mergeCell ref="S40:Z42"/>
    <mergeCell ref="AC35:AI35"/>
    <mergeCell ref="AC31:AF31"/>
    <mergeCell ref="AH31:AK31"/>
    <mergeCell ref="AN36:AP36"/>
    <mergeCell ref="AN40:AP40"/>
    <mergeCell ref="AY36:BA36"/>
    <mergeCell ref="AN37:AP37"/>
    <mergeCell ref="AY37:BA37"/>
    <mergeCell ref="AN38:AP38"/>
    <mergeCell ref="AY38:BA38"/>
    <mergeCell ref="BF38:BN38"/>
    <mergeCell ref="BF37:BH37"/>
    <mergeCell ref="BI37:BK37"/>
    <mergeCell ref="BL37:BN37"/>
    <mergeCell ref="BC31:BE31"/>
    <mergeCell ref="BC32:BE32"/>
    <mergeCell ref="BC33:BE33"/>
    <mergeCell ref="BC34:BE34"/>
    <mergeCell ref="BC35:BE35"/>
    <mergeCell ref="BC36:BE36"/>
    <mergeCell ref="BC37:BE37"/>
    <mergeCell ref="BC38:BE38"/>
    <mergeCell ref="BL31:BN31"/>
    <mergeCell ref="BI31:BK31"/>
    <mergeCell ref="BF31:BH31"/>
    <mergeCell ref="BF32:BH32"/>
    <mergeCell ref="BI32:BK32"/>
    <mergeCell ref="BL32:BN32"/>
    <mergeCell ref="BF36:BH36"/>
    <mergeCell ref="BI36:BK36"/>
    <mergeCell ref="BL36:BN36"/>
    <mergeCell ref="BL33:BN33"/>
    <mergeCell ref="BF34:BH34"/>
    <mergeCell ref="BI34:BK34"/>
    <mergeCell ref="AX27:BA27"/>
    <mergeCell ref="AX25:BA25"/>
    <mergeCell ref="AX26:BA26"/>
    <mergeCell ref="BB25:BE25"/>
    <mergeCell ref="BB26:BE26"/>
    <mergeCell ref="BB21:BD21"/>
    <mergeCell ref="AO30:AQ30"/>
    <mergeCell ref="AS30:AV30"/>
    <mergeCell ref="AH27:AK27"/>
    <mergeCell ref="AO27:AQ27"/>
    <mergeCell ref="AS27:AV27"/>
    <mergeCell ref="AX24:BA24"/>
    <mergeCell ref="AS25:AV25"/>
    <mergeCell ref="AO25:AQ25"/>
    <mergeCell ref="AC24:AK24"/>
    <mergeCell ref="AL24:AV24"/>
    <mergeCell ref="AC25:AF25"/>
    <mergeCell ref="AH25:AK25"/>
    <mergeCell ref="AC26:AF26"/>
    <mergeCell ref="AH26:AK26"/>
    <mergeCell ref="AO26:AQ26"/>
    <mergeCell ref="AS26:AV26"/>
    <mergeCell ref="AE21:AG21"/>
    <mergeCell ref="AI21:AY21"/>
    <mergeCell ref="BF33:BH33"/>
    <mergeCell ref="BI33:BK33"/>
    <mergeCell ref="BF35:BH35"/>
    <mergeCell ref="BI35:BK35"/>
    <mergeCell ref="BL35:BN35"/>
    <mergeCell ref="BN20:BP20"/>
    <mergeCell ref="BN21:BP21"/>
    <mergeCell ref="BE21:BG21"/>
    <mergeCell ref="BF30:BH30"/>
    <mergeCell ref="BI30:BK30"/>
    <mergeCell ref="BL30:BN30"/>
    <mergeCell ref="BJ27:BM27"/>
    <mergeCell ref="BJ26:BM26"/>
    <mergeCell ref="BJ25:BM25"/>
    <mergeCell ref="BF27:BI27"/>
    <mergeCell ref="BF26:BI26"/>
    <mergeCell ref="BF25:BI25"/>
    <mergeCell ref="BB27:BE27"/>
    <mergeCell ref="BJ24:BM24"/>
    <mergeCell ref="BF24:BI24"/>
    <mergeCell ref="BB24:BE24"/>
    <mergeCell ref="BC30:BE30"/>
    <mergeCell ref="BL34:BN34"/>
    <mergeCell ref="BH21:BJ21"/>
    <mergeCell ref="BG8:BI8"/>
    <mergeCell ref="BG9:BI9"/>
    <mergeCell ref="BG10:BI10"/>
    <mergeCell ref="BG11:BI11"/>
    <mergeCell ref="AZ12:BB12"/>
    <mergeCell ref="AZ13:BB13"/>
    <mergeCell ref="AZ14:BB14"/>
    <mergeCell ref="BD11:BF11"/>
    <mergeCell ref="BD12:BF12"/>
    <mergeCell ref="BD13:BF13"/>
    <mergeCell ref="AZ11:BB11"/>
    <mergeCell ref="BV14:BX14"/>
    <mergeCell ref="BM4:BO4"/>
    <mergeCell ref="BM5:BO5"/>
    <mergeCell ref="BM6:BO6"/>
    <mergeCell ref="BM7:BO7"/>
    <mergeCell ref="BM8:BO8"/>
    <mergeCell ref="BM9:BO9"/>
    <mergeCell ref="BM10:BO10"/>
    <mergeCell ref="BJ14:BL14"/>
    <mergeCell ref="BS7:BU7"/>
    <mergeCell ref="BS8:BU8"/>
    <mergeCell ref="BS9:BU9"/>
    <mergeCell ref="BV12:BX12"/>
    <mergeCell ref="BJ13:BL13"/>
    <mergeCell ref="BV13:BX13"/>
    <mergeCell ref="BJ8:BL8"/>
    <mergeCell ref="BV8:BX8"/>
    <mergeCell ref="BJ9:BL9"/>
    <mergeCell ref="BV9:BX9"/>
    <mergeCell ref="BJ10:BL10"/>
    <mergeCell ref="BV10:BX10"/>
    <mergeCell ref="BJ11:BL11"/>
    <mergeCell ref="BV11:BX11"/>
    <mergeCell ref="BJ12:BL12"/>
    <mergeCell ref="BP7:BR7"/>
    <mergeCell ref="BP8:BR8"/>
    <mergeCell ref="BP9:BR9"/>
    <mergeCell ref="BP10:BR10"/>
    <mergeCell ref="BY2:BY3"/>
    <mergeCell ref="BZ2:BZ3"/>
    <mergeCell ref="CA2:CA3"/>
    <mergeCell ref="BG14:BI14"/>
    <mergeCell ref="BP11:BR11"/>
    <mergeCell ref="BP12:BR12"/>
    <mergeCell ref="BP13:BR13"/>
    <mergeCell ref="BP14:BR14"/>
    <mergeCell ref="BM11:BO11"/>
    <mergeCell ref="BM12:BO12"/>
    <mergeCell ref="BM13:BO13"/>
    <mergeCell ref="BM14:BO14"/>
    <mergeCell ref="BS10:BU10"/>
    <mergeCell ref="BS11:BU11"/>
    <mergeCell ref="BS12:BU12"/>
    <mergeCell ref="BS13:BU13"/>
    <mergeCell ref="BS14:BU14"/>
    <mergeCell ref="BG12:BI12"/>
    <mergeCell ref="BG13:BI13"/>
    <mergeCell ref="BC2:BI2"/>
    <mergeCell ref="BJ7:BL7"/>
    <mergeCell ref="BV7:BX7"/>
    <mergeCell ref="BG7:BI7"/>
    <mergeCell ref="BD14:BF14"/>
    <mergeCell ref="AI2:AJ3"/>
    <mergeCell ref="BJ2:BL3"/>
    <mergeCell ref="BV2:BX3"/>
    <mergeCell ref="BJ4:BL4"/>
    <mergeCell ref="BV4:BX4"/>
    <mergeCell ref="BJ5:BL5"/>
    <mergeCell ref="BV5:BX5"/>
    <mergeCell ref="BJ6:BL6"/>
    <mergeCell ref="BV6:BX6"/>
    <mergeCell ref="BG3:BI3"/>
    <mergeCell ref="BG4:BI4"/>
    <mergeCell ref="BG5:BI5"/>
    <mergeCell ref="BG6:BI6"/>
    <mergeCell ref="AK2:AX2"/>
    <mergeCell ref="AZ6:BB6"/>
    <mergeCell ref="BS2:BU3"/>
    <mergeCell ref="BS4:BU4"/>
    <mergeCell ref="BS5:BU5"/>
    <mergeCell ref="BS6:BU6"/>
    <mergeCell ref="BP2:BR3"/>
    <mergeCell ref="BP4:BR4"/>
    <mergeCell ref="BP5:BR5"/>
    <mergeCell ref="BP6:BR6"/>
    <mergeCell ref="BM2:BO3"/>
    <mergeCell ref="AY2:BB2"/>
    <mergeCell ref="BD3:BF3"/>
    <mergeCell ref="BD4:BF4"/>
    <mergeCell ref="BD5:BF5"/>
    <mergeCell ref="BD6:BF6"/>
    <mergeCell ref="BD7:BF7"/>
    <mergeCell ref="BD8:BF8"/>
    <mergeCell ref="BD9:BF9"/>
    <mergeCell ref="BD10:BF10"/>
    <mergeCell ref="AZ3:BB3"/>
    <mergeCell ref="AZ4:BB4"/>
    <mergeCell ref="AZ5:BB5"/>
    <mergeCell ref="AZ7:BB7"/>
    <mergeCell ref="AZ8:BB8"/>
    <mergeCell ref="AZ9:BB9"/>
    <mergeCell ref="AZ10:BB10"/>
    <mergeCell ref="AS3:AU3"/>
    <mergeCell ref="AS14:AU14"/>
    <mergeCell ref="AV3:AX3"/>
    <mergeCell ref="AV4:AX4"/>
    <mergeCell ref="AV5:AX5"/>
    <mergeCell ref="AV6:AX6"/>
    <mergeCell ref="AV7:AX7"/>
    <mergeCell ref="AV8:AX8"/>
    <mergeCell ref="AV9:AX9"/>
    <mergeCell ref="AV10:AX10"/>
    <mergeCell ref="AV11:AX11"/>
    <mergeCell ref="AV12:AX12"/>
    <mergeCell ref="AV13:AX13"/>
    <mergeCell ref="AV14:AX14"/>
    <mergeCell ref="AS4:AU4"/>
    <mergeCell ref="AS5:AU5"/>
    <mergeCell ref="AS6:AU6"/>
    <mergeCell ref="AS7:AU7"/>
    <mergeCell ref="AS8:AU8"/>
    <mergeCell ref="AS9:AU9"/>
    <mergeCell ref="AS10:AU10"/>
    <mergeCell ref="AS11:AU11"/>
    <mergeCell ref="AS12:AU12"/>
    <mergeCell ref="AS13:AU13"/>
    <mergeCell ref="AO3:AQ3"/>
    <mergeCell ref="AO4:AQ4"/>
    <mergeCell ref="AO5:AQ5"/>
    <mergeCell ref="AO6:AQ6"/>
    <mergeCell ref="AO7:AQ7"/>
    <mergeCell ref="AO8:AQ8"/>
    <mergeCell ref="AO9:AQ9"/>
    <mergeCell ref="AL3:AN3"/>
    <mergeCell ref="AL4:AN4"/>
    <mergeCell ref="AL5:AN5"/>
    <mergeCell ref="AL6:AN6"/>
    <mergeCell ref="AL7:AN7"/>
    <mergeCell ref="AL8:AN8"/>
    <mergeCell ref="AL9:AN9"/>
    <mergeCell ref="BD57:BG57"/>
    <mergeCell ref="BI57:BL57"/>
    <mergeCell ref="BM57:BO57"/>
    <mergeCell ref="BP57:BR57"/>
    <mergeCell ref="BT57:BW57"/>
    <mergeCell ref="BD58:BG58"/>
    <mergeCell ref="BI58:BL58"/>
    <mergeCell ref="BM58:BO58"/>
    <mergeCell ref="BP58:BR58"/>
    <mergeCell ref="BT58:BW58"/>
    <mergeCell ref="BD55:BG55"/>
    <mergeCell ref="BI55:BL55"/>
    <mergeCell ref="BM55:BO55"/>
    <mergeCell ref="BP55:BR55"/>
    <mergeCell ref="BT55:BW55"/>
    <mergeCell ref="BD56:BG56"/>
    <mergeCell ref="BI56:BL56"/>
    <mergeCell ref="BM56:BO56"/>
    <mergeCell ref="BP56:BR56"/>
    <mergeCell ref="BT56:BW56"/>
    <mergeCell ref="BD53:BG53"/>
    <mergeCell ref="BI53:BL53"/>
    <mergeCell ref="BM53:BO53"/>
    <mergeCell ref="BP53:BR53"/>
    <mergeCell ref="BT53:BW53"/>
    <mergeCell ref="BD54:BG54"/>
    <mergeCell ref="BI54:BL54"/>
    <mergeCell ref="BM54:BO54"/>
    <mergeCell ref="BP54:BR54"/>
    <mergeCell ref="BT54:BW54"/>
    <mergeCell ref="BD51:BL51"/>
    <mergeCell ref="BM51:BW51"/>
    <mergeCell ref="BD52:BG52"/>
    <mergeCell ref="BI52:BL52"/>
    <mergeCell ref="BM52:BO52"/>
    <mergeCell ref="BP52:BR52"/>
    <mergeCell ref="BT52:BW52"/>
    <mergeCell ref="BP47:BR47"/>
    <mergeCell ref="BT47:BW47"/>
    <mergeCell ref="BP48:BR48"/>
    <mergeCell ref="BT48:BW48"/>
    <mergeCell ref="BD47:BG47"/>
    <mergeCell ref="BI47:BL47"/>
    <mergeCell ref="BD48:BG48"/>
    <mergeCell ref="BP44:BR44"/>
    <mergeCell ref="BT44:BW44"/>
    <mergeCell ref="BI48:BL48"/>
    <mergeCell ref="BD42:BG42"/>
    <mergeCell ref="BI42:BL42"/>
    <mergeCell ref="BD43:BG43"/>
    <mergeCell ref="BI43:BL43"/>
    <mergeCell ref="BD44:BG44"/>
    <mergeCell ref="BI44:BL44"/>
    <mergeCell ref="BD45:BG45"/>
    <mergeCell ref="BI45:BL45"/>
    <mergeCell ref="BP45:BR45"/>
    <mergeCell ref="BT45:BW45"/>
    <mergeCell ref="BP46:BR46"/>
    <mergeCell ref="BT46:BW46"/>
    <mergeCell ref="BD46:BG46"/>
    <mergeCell ref="BI46:BL46"/>
    <mergeCell ref="BP42:BR42"/>
    <mergeCell ref="BT42:BW42"/>
    <mergeCell ref="BP43:BR43"/>
    <mergeCell ref="BT43:BW43"/>
    <mergeCell ref="AO31:AQ31"/>
    <mergeCell ref="AS31:AV31"/>
    <mergeCell ref="AC32:AF32"/>
    <mergeCell ref="AH32:AK32"/>
    <mergeCell ref="AO32:AQ32"/>
    <mergeCell ref="AS32:AV32"/>
    <mergeCell ref="AO28:AQ28"/>
    <mergeCell ref="AS28:AV28"/>
    <mergeCell ref="AC29:AF29"/>
    <mergeCell ref="AH29:AK29"/>
    <mergeCell ref="AO29:AQ29"/>
    <mergeCell ref="AS29:AV29"/>
    <mergeCell ref="AC30:AF30"/>
    <mergeCell ref="AH30:AK30"/>
    <mergeCell ref="AC28:AF28"/>
    <mergeCell ref="AH28:AK28"/>
    <mergeCell ref="AE12:AG12"/>
    <mergeCell ref="AE13:AG13"/>
    <mergeCell ref="AE14:AG14"/>
    <mergeCell ref="AI12:AJ12"/>
    <mergeCell ref="AI13:AJ13"/>
    <mergeCell ref="AI14:AJ14"/>
    <mergeCell ref="AC7:AD7"/>
    <mergeCell ref="AC8:AD8"/>
    <mergeCell ref="AE20:AG20"/>
    <mergeCell ref="AE10:AG10"/>
    <mergeCell ref="AE11:AG11"/>
    <mergeCell ref="AC9:AD9"/>
    <mergeCell ref="AC10:AD10"/>
    <mergeCell ref="AC11:AD11"/>
    <mergeCell ref="AC12:AD12"/>
    <mergeCell ref="AC13:AD13"/>
    <mergeCell ref="AC14:AD14"/>
    <mergeCell ref="AC19:AD19"/>
    <mergeCell ref="AI20:AN20"/>
    <mergeCell ref="AI19:AN19"/>
    <mergeCell ref="AE16:AG16"/>
    <mergeCell ref="AE17:AG17"/>
    <mergeCell ref="AI16:AN16"/>
    <mergeCell ref="AI17:AN17"/>
    <mergeCell ref="AB19:AB21"/>
    <mergeCell ref="AC21:AD21"/>
    <mergeCell ref="AC20:AD20"/>
    <mergeCell ref="AT19:AW19"/>
    <mergeCell ref="V21:Z21"/>
    <mergeCell ref="Q21:U21"/>
    <mergeCell ref="L21:P21"/>
    <mergeCell ref="B33:D33"/>
    <mergeCell ref="B23:C23"/>
    <mergeCell ref="B22:C22"/>
    <mergeCell ref="B21:C21"/>
    <mergeCell ref="B20:C20"/>
    <mergeCell ref="D22:I22"/>
    <mergeCell ref="D21:I21"/>
    <mergeCell ref="J28:K28"/>
    <mergeCell ref="J27:K27"/>
    <mergeCell ref="V26:Z26"/>
    <mergeCell ref="V27:Z27"/>
    <mergeCell ref="V28:Z28"/>
    <mergeCell ref="L26:P26"/>
    <mergeCell ref="L27:P27"/>
    <mergeCell ref="L28:P28"/>
    <mergeCell ref="Q26:U26"/>
    <mergeCell ref="J26:K26"/>
    <mergeCell ref="AI18:AN18"/>
    <mergeCell ref="D27:I27"/>
    <mergeCell ref="AI4:AJ4"/>
    <mergeCell ref="AI5:AJ5"/>
    <mergeCell ref="AI6:AJ6"/>
    <mergeCell ref="AI7:AJ7"/>
    <mergeCell ref="AI8:AJ8"/>
    <mergeCell ref="AI9:AJ9"/>
    <mergeCell ref="AE7:AG7"/>
    <mergeCell ref="AE8:AG8"/>
    <mergeCell ref="AE9:AG9"/>
    <mergeCell ref="AB7:AB11"/>
    <mergeCell ref="AB12:AB14"/>
    <mergeCell ref="AC27:AF27"/>
    <mergeCell ref="D23:I23"/>
    <mergeCell ref="J24:K24"/>
    <mergeCell ref="J23:K23"/>
    <mergeCell ref="J22:K22"/>
    <mergeCell ref="J21:K21"/>
    <mergeCell ref="AB15:AB17"/>
    <mergeCell ref="AI10:AJ10"/>
    <mergeCell ref="AE15:AG15"/>
    <mergeCell ref="AI11:AJ11"/>
    <mergeCell ref="AL12:AN12"/>
    <mergeCell ref="AL13:AN13"/>
    <mergeCell ref="AL14:AN14"/>
    <mergeCell ref="AL10:AN10"/>
    <mergeCell ref="AL11:AN11"/>
    <mergeCell ref="AO10:AQ10"/>
    <mergeCell ref="AO11:AQ11"/>
    <mergeCell ref="AO13:AQ13"/>
    <mergeCell ref="AO12:AQ12"/>
    <mergeCell ref="AO14:AQ14"/>
    <mergeCell ref="V50:Z50"/>
    <mergeCell ref="V51:Z51"/>
    <mergeCell ref="B50:F50"/>
    <mergeCell ref="B51:F51"/>
    <mergeCell ref="C47:F47"/>
    <mergeCell ref="B46:F46"/>
    <mergeCell ref="B45:F45"/>
    <mergeCell ref="B48:F48"/>
    <mergeCell ref="B49:F49"/>
    <mergeCell ref="Q50:U50"/>
    <mergeCell ref="Q51:U51"/>
    <mergeCell ref="G50:K50"/>
    <mergeCell ref="G51:K51"/>
    <mergeCell ref="L45:P45"/>
    <mergeCell ref="L46:P46"/>
    <mergeCell ref="L47:P47"/>
    <mergeCell ref="L48:P48"/>
    <mergeCell ref="L49:P49"/>
    <mergeCell ref="L50:P50"/>
    <mergeCell ref="L51:P51"/>
    <mergeCell ref="V49:Z49"/>
    <mergeCell ref="Q45:U45"/>
    <mergeCell ref="Q46:U46"/>
    <mergeCell ref="Q47:U47"/>
    <mergeCell ref="Q27:U27"/>
    <mergeCell ref="Q28:U28"/>
    <mergeCell ref="D26:I26"/>
    <mergeCell ref="D28:I28"/>
    <mergeCell ref="L25:P25"/>
    <mergeCell ref="V25:Z25"/>
    <mergeCell ref="D25:I25"/>
    <mergeCell ref="Q48:U48"/>
    <mergeCell ref="Q49:U49"/>
    <mergeCell ref="B44:F44"/>
    <mergeCell ref="G44:K44"/>
    <mergeCell ref="L44:P44"/>
    <mergeCell ref="Q44:U44"/>
    <mergeCell ref="G45:K45"/>
    <mergeCell ref="G46:K46"/>
    <mergeCell ref="G47:K47"/>
    <mergeCell ref="G48:K48"/>
    <mergeCell ref="G49:K49"/>
    <mergeCell ref="L20:P20"/>
    <mergeCell ref="J20:K20"/>
    <mergeCell ref="D20:I20"/>
    <mergeCell ref="L24:P24"/>
    <mergeCell ref="L23:P23"/>
    <mergeCell ref="V22:Z22"/>
    <mergeCell ref="Q22:U22"/>
    <mergeCell ref="L22:P22"/>
    <mergeCell ref="V24:Z24"/>
    <mergeCell ref="V23:Z23"/>
    <mergeCell ref="D24:I24"/>
    <mergeCell ref="Q24:U24"/>
    <mergeCell ref="Q23:U23"/>
    <mergeCell ref="G8:Z10"/>
    <mergeCell ref="B36:Z37"/>
    <mergeCell ref="C16:Z16"/>
    <mergeCell ref="BB16:BD16"/>
    <mergeCell ref="AZ20:BA20"/>
    <mergeCell ref="AZ19:BA19"/>
    <mergeCell ref="AZ18:BA18"/>
    <mergeCell ref="AZ17:BA17"/>
    <mergeCell ref="AZ16:BA16"/>
    <mergeCell ref="AZ21:BA21"/>
    <mergeCell ref="BB17:BD17"/>
    <mergeCell ref="BB18:BD18"/>
    <mergeCell ref="AO17:AS17"/>
    <mergeCell ref="AT17:AW17"/>
    <mergeCell ref="AX17:AY17"/>
    <mergeCell ref="AO18:AS18"/>
    <mergeCell ref="AT18:AW18"/>
    <mergeCell ref="AX18:AY18"/>
    <mergeCell ref="AO19:AS19"/>
    <mergeCell ref="B24:C24"/>
    <mergeCell ref="V20:Z20"/>
    <mergeCell ref="Q20:U20"/>
    <mergeCell ref="V48:Z48"/>
    <mergeCell ref="B38:F39"/>
    <mergeCell ref="G38:K39"/>
    <mergeCell ref="R39:V39"/>
    <mergeCell ref="B34:D34"/>
    <mergeCell ref="B28:C28"/>
    <mergeCell ref="B27:C27"/>
    <mergeCell ref="B26:C26"/>
    <mergeCell ref="B25:C25"/>
    <mergeCell ref="B31:B32"/>
    <mergeCell ref="E33:K33"/>
    <mergeCell ref="E34:K34"/>
    <mergeCell ref="V33:Z33"/>
    <mergeCell ref="Q33:U33"/>
    <mergeCell ref="L33:P33"/>
    <mergeCell ref="V34:Z34"/>
    <mergeCell ref="Q34:U34"/>
    <mergeCell ref="L34:P34"/>
    <mergeCell ref="J25:K25"/>
    <mergeCell ref="V44:Z44"/>
    <mergeCell ref="Q25:U25"/>
    <mergeCell ref="V45:Z45"/>
    <mergeCell ref="V46:Z46"/>
    <mergeCell ref="V47:Z47"/>
    <mergeCell ref="AO20:AS20"/>
    <mergeCell ref="AX20:AY20"/>
    <mergeCell ref="AT20:AW20"/>
    <mergeCell ref="AX19:AY19"/>
    <mergeCell ref="AE19:AG19"/>
    <mergeCell ref="BY25:CA25"/>
    <mergeCell ref="BT27:BV27"/>
    <mergeCell ref="BX16:CA16"/>
    <mergeCell ref="BN25:BN27"/>
    <mergeCell ref="BO27:BP27"/>
    <mergeCell ref="BO26:BP26"/>
    <mergeCell ref="BO25:BP25"/>
    <mergeCell ref="BN24:BV24"/>
    <mergeCell ref="BT25:BV25"/>
    <mergeCell ref="BT26:BV26"/>
    <mergeCell ref="BQ27:BS27"/>
    <mergeCell ref="BQ26:BS26"/>
    <mergeCell ref="BQ25:BS25"/>
    <mergeCell ref="BT21:BV21"/>
    <mergeCell ref="BT17:BV20"/>
    <mergeCell ref="BY24:CA24"/>
    <mergeCell ref="BY23:CA23"/>
    <mergeCell ref="BY22:CA22"/>
    <mergeCell ref="BQ17:BS17"/>
    <mergeCell ref="BQ18:BS18"/>
    <mergeCell ref="BQ19:BS19"/>
    <mergeCell ref="BQ20:BS20"/>
    <mergeCell ref="BQ21:BS21"/>
    <mergeCell ref="BN17:BP17"/>
    <mergeCell ref="BY21:CA21"/>
    <mergeCell ref="BY20:CA20"/>
    <mergeCell ref="BY19:CA19"/>
    <mergeCell ref="BY18:CA18"/>
    <mergeCell ref="BY17:CA17"/>
    <mergeCell ref="BN18:BP18"/>
    <mergeCell ref="BN19:BP19"/>
    <mergeCell ref="BK17:BM17"/>
    <mergeCell ref="BK18:BM18"/>
    <mergeCell ref="BK19:BM19"/>
    <mergeCell ref="BK20:BM20"/>
    <mergeCell ref="BK21:BM21"/>
    <mergeCell ref="BE18:BG18"/>
    <mergeCell ref="BB19:BD19"/>
    <mergeCell ref="BE19:BG19"/>
    <mergeCell ref="BB20:BD20"/>
    <mergeCell ref="BE20:BG20"/>
    <mergeCell ref="BE17:BG17"/>
    <mergeCell ref="BH17:BJ17"/>
    <mergeCell ref="BH18:BJ18"/>
    <mergeCell ref="BH19:BJ19"/>
    <mergeCell ref="BH20:BJ20"/>
  </mergeCells>
  <phoneticPr fontId="1"/>
  <dataValidations count="4">
    <dataValidation type="list" allowBlank="1" showInputMessage="1" showErrorMessage="1" sqref="B34:D34 B26:B28 J21:J28" xr:uid="{00000000-0002-0000-0000-000000000000}">
      <formula1>$AB$3:$AB$4</formula1>
    </dataValidation>
    <dataValidation type="list" allowBlank="1" showInputMessage="1" showErrorMessage="1" sqref="D26:D28" xr:uid="{00000000-0002-0000-0000-000001000000}">
      <formula1>$AC$2:$AC$5</formula1>
    </dataValidation>
    <dataValidation type="list" allowBlank="1" showInputMessage="1" showErrorMessage="1" sqref="D21:I25" xr:uid="{E933E552-300C-49A9-81F6-38D1F1952192}">
      <formula1>$CC$4:$CC$78</formula1>
    </dataValidation>
    <dataValidation type="list" allowBlank="1" showInputMessage="1" showErrorMessage="1" sqref="E34:K34" xr:uid="{439EB6A0-57F1-4678-A57E-19E1889DC7E2}">
      <formula1>$CC$4:$CC$124</formula1>
    </dataValidation>
  </dataValidations>
  <pageMargins left="0.51181102362204722" right="0.39370078740157483" top="0.39370078740157483" bottom="0.39370078740157483" header="0.19685039370078741" footer="0.19685039370078741"/>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14"/>
  <sheetViews>
    <sheetView view="pageBreakPreview" zoomScaleNormal="100" zoomScaleSheetLayoutView="100" workbookViewId="0">
      <selection activeCell="A111" sqref="A111:Z111"/>
    </sheetView>
  </sheetViews>
  <sheetFormatPr defaultColWidth="3.5" defaultRowHeight="15" customHeight="1" x14ac:dyDescent="0.15"/>
  <cols>
    <col min="1" max="16384" width="3.5" style="1"/>
  </cols>
  <sheetData>
    <row r="1" spans="1:14" ht="15" customHeight="1" x14ac:dyDescent="0.15">
      <c r="A1" s="61" t="s">
        <v>149</v>
      </c>
    </row>
    <row r="2" spans="1:14" ht="15" customHeight="1" x14ac:dyDescent="0.15">
      <c r="A2" s="61"/>
    </row>
    <row r="3" spans="1:14" ht="15" customHeight="1" x14ac:dyDescent="0.15">
      <c r="A3" s="62" t="s">
        <v>150</v>
      </c>
      <c r="N3" s="62" t="s">
        <v>151</v>
      </c>
    </row>
    <row r="30" spans="1:25" ht="15" customHeight="1" x14ac:dyDescent="0.15">
      <c r="A30" s="811" t="s">
        <v>6</v>
      </c>
      <c r="B30" s="811"/>
      <c r="C30" s="492" t="s">
        <v>126</v>
      </c>
      <c r="D30" s="492"/>
      <c r="E30" s="492"/>
      <c r="F30" s="492"/>
      <c r="G30" s="492"/>
      <c r="H30" s="811" t="s">
        <v>5</v>
      </c>
      <c r="I30" s="811"/>
      <c r="J30" s="492" t="s">
        <v>7</v>
      </c>
      <c r="K30" s="492"/>
      <c r="L30" s="492"/>
      <c r="M30" s="492"/>
      <c r="N30" s="492" t="s">
        <v>8</v>
      </c>
      <c r="O30" s="492"/>
      <c r="P30" s="492"/>
      <c r="Q30" s="492"/>
      <c r="R30" s="492" t="s">
        <v>9</v>
      </c>
      <c r="S30" s="492"/>
      <c r="T30" s="492"/>
      <c r="U30" s="492"/>
      <c r="V30" s="492" t="s">
        <v>10</v>
      </c>
      <c r="W30" s="492"/>
      <c r="X30" s="492"/>
      <c r="Y30" s="492"/>
    </row>
    <row r="31" spans="1:25" ht="15" customHeight="1" x14ac:dyDescent="0.15">
      <c r="A31" s="808" t="s">
        <v>142</v>
      </c>
      <c r="B31" s="808"/>
      <c r="C31" s="809"/>
      <c r="D31" s="809"/>
      <c r="E31" s="809"/>
      <c r="F31" s="809"/>
      <c r="G31" s="809"/>
      <c r="H31" s="808" t="s">
        <v>0</v>
      </c>
      <c r="I31" s="808"/>
      <c r="J31" s="810"/>
      <c r="K31" s="810"/>
      <c r="L31" s="810"/>
      <c r="M31" s="810"/>
      <c r="N31" s="810"/>
      <c r="O31" s="810"/>
      <c r="P31" s="810"/>
      <c r="Q31" s="810"/>
      <c r="R31" s="810"/>
      <c r="S31" s="810"/>
      <c r="T31" s="810"/>
      <c r="U31" s="810"/>
      <c r="V31" s="810"/>
      <c r="W31" s="810"/>
      <c r="X31" s="810"/>
      <c r="Y31" s="810"/>
    </row>
    <row r="32" spans="1:25" s="66" customFormat="1" ht="15" customHeight="1" x14ac:dyDescent="0.15">
      <c r="A32" s="63"/>
      <c r="B32" s="63"/>
      <c r="C32" s="64"/>
      <c r="D32" s="64"/>
      <c r="E32" s="64"/>
      <c r="F32" s="64"/>
      <c r="G32" s="64"/>
      <c r="H32" s="63"/>
      <c r="I32" s="63"/>
      <c r="J32" s="65"/>
      <c r="K32" s="65"/>
      <c r="L32" s="65"/>
      <c r="M32" s="65"/>
      <c r="N32" s="65"/>
      <c r="O32" s="65"/>
      <c r="P32" s="65"/>
      <c r="Q32" s="65"/>
      <c r="R32" s="65"/>
      <c r="S32" s="65"/>
      <c r="T32" s="65"/>
      <c r="U32" s="65"/>
      <c r="V32" s="65"/>
      <c r="W32" s="65"/>
      <c r="X32" s="65"/>
      <c r="Y32" s="65"/>
    </row>
    <row r="33" spans="1:26" ht="15" customHeight="1" x14ac:dyDescent="0.15">
      <c r="A33" s="812" t="s">
        <v>152</v>
      </c>
      <c r="B33" s="812"/>
      <c r="C33" s="812"/>
      <c r="D33" s="812"/>
      <c r="E33" s="812"/>
      <c r="F33" s="812"/>
      <c r="G33" s="812"/>
      <c r="H33" s="812"/>
      <c r="I33" s="812"/>
      <c r="J33" s="812"/>
      <c r="K33" s="812"/>
      <c r="L33" s="812"/>
      <c r="M33" s="812"/>
      <c r="N33" s="812" t="s">
        <v>153</v>
      </c>
      <c r="O33" s="812"/>
      <c r="P33" s="812"/>
      <c r="Q33" s="812"/>
      <c r="R33" s="812"/>
      <c r="S33" s="812"/>
      <c r="T33" s="812"/>
      <c r="U33" s="812"/>
      <c r="V33" s="812"/>
      <c r="W33" s="812"/>
      <c r="X33" s="812"/>
      <c r="Y33" s="812"/>
      <c r="Z33" s="812"/>
    </row>
    <row r="34" spans="1:26" ht="15" customHeight="1" x14ac:dyDescent="0.15">
      <c r="A34" s="807" t="s">
        <v>162</v>
      </c>
      <c r="B34" s="807"/>
      <c r="C34" s="807"/>
      <c r="D34" s="807"/>
      <c r="E34" s="807"/>
      <c r="F34" s="807"/>
      <c r="G34" s="807"/>
      <c r="H34" s="807"/>
      <c r="I34" s="807"/>
      <c r="J34" s="807"/>
      <c r="K34" s="807"/>
      <c r="L34" s="807"/>
      <c r="M34" s="807"/>
      <c r="N34" s="807" t="s">
        <v>165</v>
      </c>
      <c r="O34" s="807"/>
      <c r="P34" s="807"/>
      <c r="Q34" s="807"/>
      <c r="R34" s="807"/>
      <c r="S34" s="807"/>
      <c r="T34" s="807"/>
      <c r="U34" s="807"/>
      <c r="V34" s="807"/>
      <c r="W34" s="807"/>
      <c r="X34" s="807"/>
      <c r="Y34" s="807"/>
      <c r="Z34" s="807"/>
    </row>
    <row r="35" spans="1:26" ht="15" customHeight="1" x14ac:dyDescent="0.15">
      <c r="A35" s="807" t="s">
        <v>163</v>
      </c>
      <c r="B35" s="807"/>
      <c r="C35" s="807"/>
      <c r="D35" s="807"/>
      <c r="E35" s="807"/>
      <c r="F35" s="807"/>
      <c r="G35" s="807"/>
      <c r="H35" s="807"/>
      <c r="I35" s="807"/>
      <c r="J35" s="807"/>
      <c r="K35" s="807"/>
      <c r="L35" s="807"/>
      <c r="M35" s="807"/>
      <c r="N35" s="807" t="s">
        <v>163</v>
      </c>
      <c r="O35" s="807"/>
      <c r="P35" s="807"/>
      <c r="Q35" s="807"/>
      <c r="R35" s="807"/>
      <c r="S35" s="807"/>
      <c r="T35" s="807"/>
      <c r="U35" s="807"/>
      <c r="V35" s="807"/>
      <c r="W35" s="807"/>
      <c r="X35" s="807"/>
      <c r="Y35" s="807"/>
      <c r="Z35" s="807"/>
    </row>
    <row r="36" spans="1:26" ht="15" customHeight="1" x14ac:dyDescent="0.15">
      <c r="A36" s="807" t="s">
        <v>154</v>
      </c>
      <c r="B36" s="807"/>
      <c r="C36" s="807"/>
      <c r="D36" s="807"/>
      <c r="E36" s="807"/>
      <c r="F36" s="807"/>
      <c r="G36" s="807"/>
      <c r="H36" s="807"/>
      <c r="I36" s="807"/>
      <c r="J36" s="807"/>
      <c r="K36" s="807"/>
      <c r="L36" s="807"/>
      <c r="M36" s="807"/>
      <c r="N36" s="807" t="s">
        <v>154</v>
      </c>
      <c r="O36" s="807"/>
      <c r="P36" s="807"/>
      <c r="Q36" s="807"/>
      <c r="R36" s="807"/>
      <c r="S36" s="807"/>
      <c r="T36" s="807"/>
      <c r="U36" s="807"/>
      <c r="V36" s="807"/>
      <c r="W36" s="807"/>
      <c r="X36" s="807"/>
      <c r="Y36" s="807"/>
      <c r="Z36" s="807"/>
    </row>
    <row r="37" spans="1:26" ht="6.75" customHeight="1" x14ac:dyDescent="0.15">
      <c r="A37" s="807"/>
      <c r="B37" s="807"/>
      <c r="C37" s="807"/>
      <c r="D37" s="807"/>
      <c r="E37" s="807"/>
      <c r="F37" s="807"/>
      <c r="G37" s="807"/>
      <c r="H37" s="807"/>
      <c r="I37" s="807"/>
      <c r="J37" s="807"/>
      <c r="K37" s="807"/>
      <c r="L37" s="807"/>
      <c r="M37" s="807"/>
      <c r="N37" s="807"/>
      <c r="O37" s="807"/>
      <c r="P37" s="807"/>
      <c r="Q37" s="807"/>
      <c r="R37" s="807"/>
      <c r="S37" s="807"/>
      <c r="T37" s="807"/>
      <c r="U37" s="807"/>
      <c r="V37" s="807"/>
      <c r="W37" s="807"/>
      <c r="X37" s="807"/>
      <c r="Y37" s="807"/>
      <c r="Z37" s="807"/>
    </row>
    <row r="38" spans="1:26" ht="15" customHeight="1" x14ac:dyDescent="0.15">
      <c r="A38" s="806" t="s">
        <v>155</v>
      </c>
      <c r="B38" s="806"/>
      <c r="C38" s="806"/>
      <c r="D38" s="806"/>
      <c r="E38" s="806"/>
      <c r="F38" s="806"/>
      <c r="G38" s="806"/>
      <c r="H38" s="806"/>
      <c r="I38" s="806"/>
      <c r="J38" s="806"/>
      <c r="K38" s="806"/>
      <c r="L38" s="806"/>
      <c r="M38" s="806"/>
      <c r="N38" s="806" t="s">
        <v>159</v>
      </c>
      <c r="O38" s="806"/>
      <c r="P38" s="806"/>
      <c r="Q38" s="806"/>
      <c r="R38" s="806"/>
      <c r="S38" s="806"/>
      <c r="T38" s="806"/>
      <c r="U38" s="806"/>
      <c r="V38" s="806"/>
      <c r="W38" s="806"/>
      <c r="X38" s="806"/>
      <c r="Y38" s="806"/>
      <c r="Z38" s="806"/>
    </row>
    <row r="39" spans="1:26" ht="15" customHeight="1" x14ac:dyDescent="0.15">
      <c r="A39" s="806" t="s">
        <v>156</v>
      </c>
      <c r="B39" s="806"/>
      <c r="C39" s="806"/>
      <c r="D39" s="806"/>
      <c r="E39" s="806"/>
      <c r="F39" s="806"/>
      <c r="G39" s="806"/>
      <c r="H39" s="806"/>
      <c r="I39" s="806"/>
      <c r="J39" s="806"/>
      <c r="K39" s="806"/>
      <c r="L39" s="806"/>
      <c r="M39" s="806"/>
      <c r="N39" s="806" t="s">
        <v>160</v>
      </c>
      <c r="O39" s="806"/>
      <c r="P39" s="806"/>
      <c r="Q39" s="806"/>
      <c r="R39" s="806"/>
      <c r="S39" s="806"/>
      <c r="T39" s="806"/>
      <c r="U39" s="806"/>
      <c r="V39" s="806"/>
      <c r="W39" s="806"/>
      <c r="X39" s="806"/>
      <c r="Y39" s="806"/>
      <c r="Z39" s="806"/>
    </row>
    <row r="40" spans="1:26" ht="15" customHeight="1" x14ac:dyDescent="0.15">
      <c r="A40" s="806" t="s">
        <v>157</v>
      </c>
      <c r="B40" s="806"/>
      <c r="C40" s="806"/>
      <c r="D40" s="806"/>
      <c r="E40" s="806"/>
      <c r="F40" s="806"/>
      <c r="G40" s="806"/>
      <c r="H40" s="806"/>
      <c r="I40" s="806"/>
      <c r="J40" s="806"/>
      <c r="K40" s="806"/>
      <c r="L40" s="806"/>
      <c r="M40" s="806"/>
      <c r="N40" s="806" t="s">
        <v>161</v>
      </c>
      <c r="O40" s="806"/>
      <c r="P40" s="806"/>
      <c r="Q40" s="806"/>
      <c r="R40" s="806"/>
      <c r="S40" s="806"/>
      <c r="T40" s="806"/>
      <c r="U40" s="806"/>
      <c r="V40" s="806"/>
      <c r="W40" s="806"/>
      <c r="X40" s="806"/>
      <c r="Y40" s="806"/>
      <c r="Z40" s="806"/>
    </row>
    <row r="41" spans="1:26" ht="15" customHeight="1" x14ac:dyDescent="0.15">
      <c r="A41" s="806" t="s">
        <v>158</v>
      </c>
      <c r="B41" s="806"/>
      <c r="C41" s="806"/>
      <c r="D41" s="806"/>
      <c r="E41" s="806"/>
      <c r="F41" s="806"/>
      <c r="G41" s="806"/>
      <c r="H41" s="806"/>
      <c r="I41" s="806"/>
      <c r="J41" s="806"/>
      <c r="K41" s="806"/>
      <c r="L41" s="806"/>
      <c r="M41" s="806"/>
      <c r="N41" s="806" t="s">
        <v>158</v>
      </c>
      <c r="O41" s="806"/>
      <c r="P41" s="806"/>
      <c r="Q41" s="806"/>
      <c r="R41" s="806"/>
      <c r="S41" s="806"/>
      <c r="T41" s="806"/>
      <c r="U41" s="806"/>
      <c r="V41" s="806"/>
      <c r="W41" s="806"/>
      <c r="X41" s="806"/>
      <c r="Y41" s="806"/>
      <c r="Z41" s="806"/>
    </row>
    <row r="42" spans="1:26" ht="15" customHeight="1" x14ac:dyDescent="0.15">
      <c r="A42" s="806" t="s">
        <v>164</v>
      </c>
      <c r="B42" s="806"/>
      <c r="C42" s="806"/>
      <c r="D42" s="806"/>
      <c r="E42" s="806"/>
      <c r="F42" s="806"/>
      <c r="G42" s="806"/>
      <c r="H42" s="806"/>
      <c r="I42" s="806"/>
      <c r="J42" s="806"/>
      <c r="K42" s="806"/>
      <c r="L42" s="806"/>
      <c r="M42" s="806"/>
      <c r="N42" s="806" t="s">
        <v>166</v>
      </c>
      <c r="O42" s="806"/>
      <c r="P42" s="806"/>
      <c r="Q42" s="806"/>
      <c r="R42" s="806"/>
      <c r="S42" s="806"/>
      <c r="T42" s="806"/>
      <c r="U42" s="806"/>
      <c r="V42" s="806"/>
      <c r="W42" s="806"/>
      <c r="X42" s="806"/>
      <c r="Y42" s="806"/>
      <c r="Z42" s="806"/>
    </row>
    <row r="43" spans="1:26" ht="15" customHeight="1" x14ac:dyDescent="0.15">
      <c r="A43" s="807"/>
      <c r="B43" s="807"/>
      <c r="C43" s="807"/>
      <c r="D43" s="807"/>
      <c r="E43" s="807"/>
      <c r="F43" s="807"/>
      <c r="G43" s="807"/>
      <c r="H43" s="807"/>
      <c r="I43" s="807"/>
      <c r="J43" s="807"/>
      <c r="K43" s="807"/>
      <c r="L43" s="807"/>
      <c r="M43" s="807"/>
      <c r="N43" s="807"/>
      <c r="O43" s="807"/>
      <c r="P43" s="807"/>
      <c r="Q43" s="807"/>
      <c r="R43" s="807"/>
      <c r="S43" s="807"/>
      <c r="T43" s="807"/>
      <c r="U43" s="807"/>
      <c r="V43" s="807"/>
      <c r="W43" s="807"/>
      <c r="X43" s="807"/>
      <c r="Y43" s="807"/>
      <c r="Z43" s="807"/>
    </row>
    <row r="44" spans="1:26" ht="15" customHeight="1" x14ac:dyDescent="0.15">
      <c r="A44" s="807"/>
      <c r="B44" s="807"/>
      <c r="C44" s="807"/>
      <c r="D44" s="807"/>
      <c r="E44" s="807"/>
      <c r="F44" s="807"/>
      <c r="G44" s="807"/>
      <c r="H44" s="807"/>
      <c r="I44" s="807"/>
      <c r="J44" s="807"/>
      <c r="K44" s="807"/>
      <c r="L44" s="807"/>
      <c r="M44" s="807"/>
      <c r="N44" s="807"/>
      <c r="O44" s="807"/>
      <c r="P44" s="807"/>
      <c r="Q44" s="807"/>
      <c r="R44" s="807"/>
      <c r="S44" s="807"/>
      <c r="T44" s="807"/>
      <c r="U44" s="807"/>
      <c r="V44" s="807"/>
      <c r="W44" s="807"/>
      <c r="X44" s="807"/>
      <c r="Y44" s="807"/>
      <c r="Z44" s="807"/>
    </row>
    <row r="45" spans="1:26" ht="15" customHeight="1" x14ac:dyDescent="0.15">
      <c r="A45" s="806" t="s">
        <v>167</v>
      </c>
      <c r="B45" s="806"/>
      <c r="C45" s="806"/>
      <c r="D45" s="806"/>
      <c r="E45" s="806"/>
      <c r="F45" s="806"/>
      <c r="G45" s="806"/>
      <c r="H45" s="806"/>
      <c r="I45" s="806"/>
      <c r="J45" s="806"/>
      <c r="K45" s="806"/>
      <c r="L45" s="806"/>
      <c r="M45" s="806"/>
      <c r="N45" s="806"/>
      <c r="O45" s="806"/>
      <c r="P45" s="806"/>
      <c r="Q45" s="806"/>
      <c r="R45" s="806"/>
      <c r="S45" s="806"/>
      <c r="T45" s="806"/>
      <c r="U45" s="806"/>
      <c r="V45" s="806"/>
      <c r="W45" s="806"/>
      <c r="X45" s="806"/>
      <c r="Y45" s="806"/>
      <c r="Z45" s="806"/>
    </row>
    <row r="46" spans="1:26" ht="15" customHeight="1" x14ac:dyDescent="0.15">
      <c r="A46" s="807"/>
      <c r="B46" s="807"/>
      <c r="C46" s="807"/>
      <c r="D46" s="807"/>
      <c r="E46" s="807"/>
      <c r="F46" s="807"/>
      <c r="G46" s="807"/>
      <c r="H46" s="807"/>
      <c r="I46" s="807"/>
      <c r="J46" s="807"/>
      <c r="K46" s="807"/>
      <c r="L46" s="807"/>
      <c r="M46" s="807"/>
      <c r="N46" s="807"/>
      <c r="O46" s="807"/>
      <c r="P46" s="807"/>
      <c r="Q46" s="807"/>
      <c r="R46" s="807"/>
      <c r="S46" s="807"/>
      <c r="T46" s="807"/>
      <c r="U46" s="807"/>
      <c r="V46" s="807"/>
      <c r="W46" s="807"/>
      <c r="X46" s="807"/>
      <c r="Y46" s="807"/>
      <c r="Z46" s="807"/>
    </row>
    <row r="47" spans="1:26" ht="15" customHeight="1" x14ac:dyDescent="0.15">
      <c r="A47" s="806" t="s">
        <v>168</v>
      </c>
      <c r="B47" s="806"/>
      <c r="C47" s="806"/>
      <c r="D47" s="806"/>
      <c r="E47" s="806"/>
      <c r="F47" s="806"/>
      <c r="G47" s="806"/>
      <c r="H47" s="806"/>
      <c r="I47" s="806"/>
      <c r="J47" s="806"/>
      <c r="K47" s="806"/>
      <c r="L47" s="806"/>
      <c r="M47" s="806"/>
      <c r="N47" s="806"/>
      <c r="O47" s="806"/>
      <c r="P47" s="806"/>
      <c r="Q47" s="806"/>
      <c r="R47" s="806"/>
      <c r="S47" s="806"/>
      <c r="T47" s="806"/>
      <c r="U47" s="806"/>
      <c r="V47" s="806"/>
      <c r="W47" s="806"/>
      <c r="X47" s="806"/>
      <c r="Y47" s="806"/>
      <c r="Z47" s="806"/>
    </row>
    <row r="48" spans="1:26" ht="15" customHeight="1" x14ac:dyDescent="0.15">
      <c r="A48" s="806"/>
      <c r="B48" s="806"/>
      <c r="C48" s="806"/>
      <c r="D48" s="806"/>
      <c r="E48" s="806"/>
      <c r="F48" s="806"/>
      <c r="G48" s="806"/>
      <c r="H48" s="806"/>
      <c r="I48" s="806"/>
      <c r="J48" s="806"/>
      <c r="K48" s="806"/>
      <c r="L48" s="806"/>
      <c r="M48" s="806"/>
      <c r="N48" s="806"/>
      <c r="O48" s="806"/>
      <c r="P48" s="806"/>
      <c r="Q48" s="806"/>
      <c r="R48" s="806"/>
      <c r="S48" s="806"/>
      <c r="T48" s="806"/>
      <c r="U48" s="806"/>
      <c r="V48" s="806"/>
      <c r="W48" s="806"/>
      <c r="X48" s="806"/>
      <c r="Y48" s="806"/>
      <c r="Z48" s="806"/>
    </row>
    <row r="49" spans="1:26" ht="15" customHeight="1" x14ac:dyDescent="0.15">
      <c r="A49" s="806"/>
      <c r="B49" s="806"/>
      <c r="C49" s="806"/>
      <c r="D49" s="806"/>
      <c r="E49" s="806"/>
      <c r="F49" s="806"/>
      <c r="G49" s="806"/>
      <c r="H49" s="806"/>
      <c r="I49" s="806"/>
      <c r="J49" s="806"/>
      <c r="K49" s="806"/>
      <c r="L49" s="806"/>
      <c r="M49" s="806"/>
      <c r="N49" s="806"/>
      <c r="O49" s="806"/>
      <c r="P49" s="806"/>
      <c r="Q49" s="806"/>
      <c r="R49" s="806"/>
      <c r="S49" s="806"/>
      <c r="T49" s="806"/>
      <c r="U49" s="806"/>
      <c r="V49" s="806"/>
      <c r="W49" s="806"/>
      <c r="X49" s="806"/>
      <c r="Y49" s="806"/>
      <c r="Z49" s="806"/>
    </row>
    <row r="50" spans="1:26" ht="15" customHeight="1" x14ac:dyDescent="0.15">
      <c r="A50" s="806" t="s">
        <v>169</v>
      </c>
      <c r="B50" s="806"/>
      <c r="C50" s="806"/>
      <c r="D50" s="806"/>
      <c r="E50" s="806"/>
      <c r="F50" s="806"/>
      <c r="G50" s="806"/>
      <c r="H50" s="806"/>
      <c r="I50" s="806"/>
      <c r="J50" s="806"/>
      <c r="K50" s="806"/>
      <c r="L50" s="806"/>
      <c r="M50" s="806"/>
      <c r="N50" s="806"/>
      <c r="O50" s="806"/>
      <c r="P50" s="806"/>
      <c r="Q50" s="806"/>
      <c r="R50" s="806"/>
      <c r="S50" s="806"/>
      <c r="T50" s="806"/>
      <c r="U50" s="806"/>
      <c r="V50" s="806"/>
      <c r="W50" s="806"/>
      <c r="X50" s="806"/>
      <c r="Y50" s="806"/>
      <c r="Z50" s="806"/>
    </row>
    <row r="51" spans="1:26" ht="15" customHeight="1" x14ac:dyDescent="0.15">
      <c r="A51" s="806"/>
      <c r="B51" s="806"/>
      <c r="C51" s="806"/>
      <c r="D51" s="806"/>
      <c r="E51" s="806"/>
      <c r="F51" s="806"/>
      <c r="G51" s="806"/>
      <c r="H51" s="806"/>
      <c r="I51" s="806"/>
      <c r="J51" s="806"/>
      <c r="K51" s="806"/>
      <c r="L51" s="806"/>
      <c r="M51" s="806"/>
      <c r="N51" s="806"/>
      <c r="O51" s="806"/>
      <c r="P51" s="806"/>
      <c r="Q51" s="806"/>
      <c r="R51" s="806"/>
      <c r="S51" s="806"/>
      <c r="T51" s="806"/>
      <c r="U51" s="806"/>
      <c r="V51" s="806"/>
      <c r="W51" s="806"/>
      <c r="X51" s="806"/>
      <c r="Y51" s="806"/>
      <c r="Z51" s="806"/>
    </row>
    <row r="52" spans="1:26" ht="15" customHeight="1" x14ac:dyDescent="0.15">
      <c r="A52" s="806"/>
      <c r="B52" s="806"/>
      <c r="C52" s="806"/>
      <c r="D52" s="806"/>
      <c r="E52" s="806"/>
      <c r="F52" s="806"/>
      <c r="G52" s="806"/>
      <c r="H52" s="806"/>
      <c r="I52" s="806"/>
      <c r="J52" s="806"/>
      <c r="K52" s="806"/>
      <c r="L52" s="806"/>
      <c r="M52" s="806"/>
      <c r="N52" s="806"/>
      <c r="O52" s="806"/>
      <c r="P52" s="806"/>
      <c r="Q52" s="806"/>
      <c r="R52" s="806"/>
      <c r="S52" s="806"/>
      <c r="T52" s="806"/>
      <c r="U52" s="806"/>
      <c r="V52" s="806"/>
      <c r="W52" s="806"/>
      <c r="X52" s="806"/>
      <c r="Y52" s="806"/>
      <c r="Z52" s="806"/>
    </row>
    <row r="53" spans="1:26" ht="15" customHeight="1" x14ac:dyDescent="0.15">
      <c r="A53" s="806"/>
      <c r="B53" s="806"/>
      <c r="C53" s="806"/>
      <c r="D53" s="806"/>
      <c r="E53" s="806"/>
      <c r="F53" s="806"/>
      <c r="G53" s="806"/>
      <c r="H53" s="806"/>
      <c r="I53" s="806"/>
      <c r="J53" s="806"/>
      <c r="K53" s="806"/>
      <c r="L53" s="806"/>
      <c r="M53" s="806"/>
      <c r="N53" s="806"/>
      <c r="O53" s="806"/>
      <c r="P53" s="806"/>
      <c r="Q53" s="806"/>
      <c r="R53" s="806"/>
      <c r="S53" s="806"/>
      <c r="T53" s="806"/>
      <c r="U53" s="806"/>
      <c r="V53" s="806"/>
      <c r="W53" s="806"/>
      <c r="X53" s="806"/>
      <c r="Y53" s="806"/>
      <c r="Z53" s="806"/>
    </row>
    <row r="54" spans="1:26" ht="15" customHeight="1" x14ac:dyDescent="0.15">
      <c r="A54" s="806"/>
      <c r="B54" s="806"/>
      <c r="C54" s="806"/>
      <c r="D54" s="806"/>
      <c r="E54" s="806"/>
      <c r="F54" s="806"/>
      <c r="G54" s="806"/>
      <c r="H54" s="806"/>
      <c r="I54" s="806"/>
      <c r="J54" s="806"/>
      <c r="K54" s="806"/>
      <c r="L54" s="806"/>
      <c r="M54" s="806"/>
      <c r="N54" s="806"/>
      <c r="O54" s="806"/>
      <c r="P54" s="806"/>
      <c r="Q54" s="806"/>
      <c r="R54" s="806"/>
      <c r="S54" s="806"/>
      <c r="T54" s="806"/>
      <c r="U54" s="806"/>
      <c r="V54" s="806"/>
      <c r="W54" s="806"/>
      <c r="X54" s="806"/>
      <c r="Y54" s="806"/>
      <c r="Z54" s="806"/>
    </row>
    <row r="55" spans="1:26" ht="15" customHeight="1" x14ac:dyDescent="0.15">
      <c r="A55" s="806"/>
      <c r="B55" s="806"/>
      <c r="C55" s="806"/>
      <c r="D55" s="806"/>
      <c r="E55" s="806"/>
      <c r="F55" s="806"/>
      <c r="G55" s="806"/>
      <c r="H55" s="806"/>
      <c r="I55" s="806"/>
      <c r="J55" s="806"/>
      <c r="K55" s="806"/>
      <c r="L55" s="806"/>
      <c r="M55" s="806"/>
      <c r="N55" s="806"/>
      <c r="O55" s="806"/>
      <c r="P55" s="806"/>
      <c r="Q55" s="806"/>
      <c r="R55" s="806"/>
      <c r="S55" s="806"/>
      <c r="T55" s="806"/>
      <c r="U55" s="806"/>
      <c r="V55" s="806"/>
      <c r="W55" s="806"/>
      <c r="X55" s="806"/>
      <c r="Y55" s="806"/>
      <c r="Z55" s="806"/>
    </row>
    <row r="56" spans="1:26" ht="15" customHeight="1" x14ac:dyDescent="0.15">
      <c r="A56" s="806"/>
      <c r="B56" s="806"/>
      <c r="C56" s="806"/>
      <c r="D56" s="806"/>
      <c r="E56" s="806"/>
      <c r="F56" s="806"/>
      <c r="G56" s="806"/>
      <c r="H56" s="806"/>
      <c r="I56" s="806"/>
      <c r="J56" s="806"/>
      <c r="K56" s="806"/>
      <c r="L56" s="806"/>
      <c r="M56" s="806"/>
      <c r="N56" s="806"/>
      <c r="O56" s="806"/>
      <c r="P56" s="806"/>
      <c r="Q56" s="806"/>
      <c r="R56" s="806"/>
      <c r="S56" s="806"/>
      <c r="T56" s="806"/>
      <c r="U56" s="806"/>
      <c r="V56" s="806"/>
      <c r="W56" s="806"/>
      <c r="X56" s="806"/>
      <c r="Y56" s="806"/>
      <c r="Z56" s="806"/>
    </row>
    <row r="57" spans="1:26" ht="15" customHeight="1" x14ac:dyDescent="0.15">
      <c r="A57" s="806"/>
      <c r="B57" s="806"/>
      <c r="C57" s="806"/>
      <c r="D57" s="806"/>
      <c r="E57" s="806"/>
      <c r="F57" s="806"/>
      <c r="G57" s="806"/>
      <c r="H57" s="806"/>
      <c r="I57" s="806"/>
      <c r="J57" s="806"/>
      <c r="K57" s="806"/>
      <c r="L57" s="806"/>
      <c r="M57" s="806"/>
      <c r="N57" s="806"/>
      <c r="O57" s="806"/>
      <c r="P57" s="806"/>
      <c r="Q57" s="806"/>
      <c r="R57" s="806"/>
      <c r="S57" s="806"/>
      <c r="T57" s="806"/>
      <c r="U57" s="806"/>
      <c r="V57" s="806"/>
      <c r="W57" s="806"/>
      <c r="X57" s="806"/>
      <c r="Y57" s="806"/>
      <c r="Z57" s="806"/>
    </row>
    <row r="58" spans="1:26" ht="15" customHeight="1" x14ac:dyDescent="0.15">
      <c r="A58" s="61" t="s">
        <v>146</v>
      </c>
    </row>
    <row r="81" spans="1:26" ht="15" customHeight="1" x14ac:dyDescent="0.15">
      <c r="A81" s="811" t="s">
        <v>6</v>
      </c>
      <c r="B81" s="811"/>
      <c r="C81" s="492" t="s">
        <v>126</v>
      </c>
      <c r="D81" s="492"/>
      <c r="E81" s="492"/>
      <c r="F81" s="492"/>
      <c r="G81" s="492"/>
      <c r="H81" s="811" t="s">
        <v>5</v>
      </c>
      <c r="I81" s="811"/>
      <c r="J81" s="492" t="s">
        <v>7</v>
      </c>
      <c r="K81" s="492"/>
      <c r="L81" s="492"/>
      <c r="M81" s="492"/>
      <c r="N81" s="492" t="s">
        <v>8</v>
      </c>
      <c r="O81" s="492"/>
      <c r="P81" s="492"/>
      <c r="Q81" s="492"/>
      <c r="R81" s="492" t="s">
        <v>9</v>
      </c>
      <c r="S81" s="492"/>
      <c r="T81" s="492"/>
      <c r="U81" s="492"/>
      <c r="V81" s="492" t="s">
        <v>10</v>
      </c>
      <c r="W81" s="492"/>
      <c r="X81" s="492"/>
      <c r="Y81" s="492"/>
    </row>
    <row r="82" spans="1:26" ht="15" customHeight="1" x14ac:dyDescent="0.15">
      <c r="A82" s="808" t="s">
        <v>142</v>
      </c>
      <c r="B82" s="808"/>
      <c r="C82" s="809"/>
      <c r="D82" s="809"/>
      <c r="E82" s="809"/>
      <c r="F82" s="809"/>
      <c r="G82" s="809"/>
      <c r="H82" s="808" t="s">
        <v>0</v>
      </c>
      <c r="I82" s="808"/>
      <c r="J82" s="810"/>
      <c r="K82" s="810"/>
      <c r="L82" s="810"/>
      <c r="M82" s="810"/>
      <c r="N82" s="810"/>
      <c r="O82" s="810"/>
      <c r="P82" s="810"/>
      <c r="Q82" s="810"/>
      <c r="R82" s="810"/>
      <c r="S82" s="810"/>
      <c r="T82" s="810"/>
      <c r="U82" s="810"/>
      <c r="V82" s="810"/>
      <c r="W82" s="810"/>
      <c r="X82" s="810"/>
      <c r="Y82" s="810"/>
    </row>
    <row r="83" spans="1:26" ht="15" customHeight="1" x14ac:dyDescent="0.15">
      <c r="A83" s="807" t="s">
        <v>147</v>
      </c>
      <c r="B83" s="807"/>
      <c r="C83" s="807"/>
      <c r="D83" s="807"/>
      <c r="E83" s="807"/>
      <c r="F83" s="807"/>
      <c r="G83" s="807"/>
      <c r="H83" s="807"/>
      <c r="I83" s="807"/>
      <c r="J83" s="807"/>
      <c r="K83" s="807"/>
      <c r="L83" s="807"/>
      <c r="M83" s="807"/>
      <c r="N83" s="807"/>
      <c r="O83" s="807"/>
      <c r="P83" s="807"/>
      <c r="Q83" s="807"/>
      <c r="R83" s="807"/>
      <c r="S83" s="807"/>
      <c r="T83" s="807"/>
      <c r="U83" s="807"/>
      <c r="V83" s="807"/>
      <c r="W83" s="807"/>
      <c r="X83" s="807"/>
      <c r="Y83" s="807"/>
      <c r="Z83" s="807"/>
    </row>
    <row r="84" spans="1:26" ht="7.5" customHeight="1" x14ac:dyDescent="0.15">
      <c r="A84" s="807"/>
      <c r="B84" s="807"/>
      <c r="C84" s="807"/>
      <c r="D84" s="807"/>
      <c r="E84" s="807"/>
      <c r="F84" s="807"/>
      <c r="G84" s="807"/>
      <c r="H84" s="807"/>
      <c r="I84" s="807"/>
      <c r="J84" s="807"/>
      <c r="K84" s="807"/>
      <c r="L84" s="807"/>
      <c r="M84" s="807"/>
      <c r="N84" s="807"/>
      <c r="O84" s="807"/>
      <c r="P84" s="807"/>
      <c r="Q84" s="807"/>
      <c r="R84" s="807"/>
      <c r="S84" s="807"/>
      <c r="T84" s="807"/>
      <c r="U84" s="807"/>
      <c r="V84" s="807"/>
      <c r="W84" s="807"/>
      <c r="X84" s="807"/>
      <c r="Y84" s="807"/>
      <c r="Z84" s="807"/>
    </row>
    <row r="85" spans="1:26" ht="15" customHeight="1" x14ac:dyDescent="0.15">
      <c r="A85" s="806" t="s">
        <v>148</v>
      </c>
      <c r="B85" s="806"/>
      <c r="C85" s="806"/>
      <c r="D85" s="806"/>
      <c r="E85" s="806"/>
      <c r="F85" s="806"/>
      <c r="G85" s="806"/>
      <c r="H85" s="806"/>
      <c r="I85" s="806"/>
      <c r="J85" s="806"/>
      <c r="K85" s="806"/>
      <c r="L85" s="806"/>
      <c r="M85" s="806"/>
      <c r="N85" s="806"/>
      <c r="O85" s="806"/>
      <c r="P85" s="806"/>
      <c r="Q85" s="806"/>
      <c r="R85" s="806"/>
      <c r="S85" s="806"/>
      <c r="T85" s="806"/>
      <c r="U85" s="806"/>
      <c r="V85" s="806"/>
      <c r="W85" s="806"/>
      <c r="X85" s="806"/>
      <c r="Y85" s="806"/>
      <c r="Z85" s="806"/>
    </row>
    <row r="86" spans="1:26" ht="15" customHeight="1" x14ac:dyDescent="0.15">
      <c r="A86" s="807"/>
      <c r="B86" s="807"/>
      <c r="C86" s="807"/>
      <c r="D86" s="807"/>
      <c r="E86" s="807"/>
      <c r="F86" s="807"/>
      <c r="G86" s="807"/>
      <c r="H86" s="807"/>
      <c r="I86" s="807"/>
      <c r="J86" s="807"/>
      <c r="K86" s="807"/>
      <c r="L86" s="807"/>
      <c r="M86" s="807"/>
      <c r="N86" s="807"/>
      <c r="O86" s="807"/>
      <c r="P86" s="807"/>
      <c r="Q86" s="807"/>
      <c r="R86" s="807"/>
      <c r="S86" s="807"/>
      <c r="T86" s="807"/>
      <c r="U86" s="807"/>
      <c r="V86" s="807"/>
      <c r="W86" s="807"/>
      <c r="X86" s="807"/>
      <c r="Y86" s="807"/>
      <c r="Z86" s="807"/>
    </row>
    <row r="87" spans="1:26" ht="15" customHeight="1" x14ac:dyDescent="0.15">
      <c r="A87" s="814" t="s">
        <v>141</v>
      </c>
      <c r="B87" s="814"/>
      <c r="C87" s="814"/>
      <c r="D87" s="814"/>
      <c r="E87" s="814"/>
      <c r="F87" s="814"/>
      <c r="G87" s="814"/>
      <c r="H87" s="814"/>
      <c r="I87" s="814"/>
      <c r="J87" s="814"/>
      <c r="K87" s="814"/>
      <c r="L87" s="814"/>
      <c r="M87" s="814"/>
      <c r="N87" s="814"/>
      <c r="O87" s="814"/>
      <c r="P87" s="814"/>
      <c r="Q87" s="814"/>
      <c r="R87" s="814"/>
      <c r="S87" s="814"/>
      <c r="T87" s="814"/>
      <c r="U87" s="814"/>
      <c r="V87" s="814"/>
      <c r="W87" s="814"/>
      <c r="X87" s="814"/>
      <c r="Y87" s="814"/>
      <c r="Z87" s="814"/>
    </row>
    <row r="109" spans="1:26" ht="15" customHeight="1" x14ac:dyDescent="0.15">
      <c r="A109" s="811" t="s">
        <v>6</v>
      </c>
      <c r="B109" s="811"/>
      <c r="C109" s="492" t="s">
        <v>126</v>
      </c>
      <c r="D109" s="492"/>
      <c r="E109" s="492"/>
      <c r="F109" s="492"/>
      <c r="G109" s="492"/>
      <c r="H109" s="811" t="s">
        <v>5</v>
      </c>
      <c r="I109" s="811"/>
      <c r="J109" s="492" t="s">
        <v>7</v>
      </c>
      <c r="K109" s="492"/>
      <c r="L109" s="492"/>
      <c r="M109" s="492"/>
      <c r="N109" s="492" t="s">
        <v>8</v>
      </c>
      <c r="O109" s="492"/>
      <c r="P109" s="492"/>
      <c r="Q109" s="492"/>
      <c r="R109" s="492" t="s">
        <v>9</v>
      </c>
      <c r="S109" s="492"/>
      <c r="T109" s="492"/>
      <c r="U109" s="492"/>
      <c r="V109" s="492" t="s">
        <v>10</v>
      </c>
      <c r="W109" s="492"/>
      <c r="X109" s="492"/>
      <c r="Y109" s="492"/>
    </row>
    <row r="110" spans="1:26" ht="15" customHeight="1" x14ac:dyDescent="0.15">
      <c r="A110" s="808" t="s">
        <v>142</v>
      </c>
      <c r="B110" s="808"/>
      <c r="C110" s="809"/>
      <c r="D110" s="809"/>
      <c r="E110" s="809"/>
      <c r="F110" s="809"/>
      <c r="G110" s="809"/>
      <c r="H110" s="808" t="s">
        <v>0</v>
      </c>
      <c r="I110" s="808"/>
      <c r="J110" s="810"/>
      <c r="K110" s="810"/>
      <c r="L110" s="810"/>
      <c r="M110" s="810"/>
      <c r="N110" s="810"/>
      <c r="O110" s="810"/>
      <c r="P110" s="810"/>
      <c r="Q110" s="810"/>
      <c r="R110" s="810"/>
      <c r="S110" s="810"/>
      <c r="T110" s="810"/>
      <c r="U110" s="810"/>
      <c r="V110" s="810"/>
      <c r="W110" s="810"/>
      <c r="X110" s="810"/>
      <c r="Y110" s="810"/>
    </row>
    <row r="111" spans="1:26" ht="15" customHeight="1" x14ac:dyDescent="0.15">
      <c r="A111" s="807" t="s">
        <v>143</v>
      </c>
      <c r="B111" s="807"/>
      <c r="C111" s="807"/>
      <c r="D111" s="807"/>
      <c r="E111" s="807"/>
      <c r="F111" s="807"/>
      <c r="G111" s="807"/>
      <c r="H111" s="807"/>
      <c r="I111" s="807"/>
      <c r="J111" s="807"/>
      <c r="K111" s="807"/>
      <c r="L111" s="807"/>
      <c r="M111" s="807"/>
      <c r="N111" s="807"/>
      <c r="O111" s="807"/>
      <c r="P111" s="807"/>
      <c r="Q111" s="807"/>
      <c r="R111" s="807"/>
      <c r="S111" s="807"/>
      <c r="T111" s="807"/>
      <c r="U111" s="807"/>
      <c r="V111" s="807"/>
      <c r="W111" s="807"/>
      <c r="X111" s="807"/>
      <c r="Y111" s="807"/>
      <c r="Z111" s="807"/>
    </row>
    <row r="112" spans="1:26" ht="15" customHeight="1" x14ac:dyDescent="0.15">
      <c r="A112" s="807" t="s">
        <v>144</v>
      </c>
      <c r="B112" s="807"/>
      <c r="C112" s="807"/>
      <c r="D112" s="807"/>
      <c r="E112" s="807"/>
      <c r="F112" s="807"/>
      <c r="G112" s="807"/>
      <c r="H112" s="807"/>
      <c r="I112" s="807"/>
      <c r="J112" s="807"/>
      <c r="K112" s="807"/>
      <c r="L112" s="807"/>
      <c r="M112" s="807"/>
      <c r="N112" s="807"/>
      <c r="O112" s="807"/>
      <c r="P112" s="807"/>
      <c r="Q112" s="807"/>
      <c r="R112" s="807"/>
      <c r="S112" s="807"/>
      <c r="T112" s="807"/>
      <c r="U112" s="807"/>
      <c r="V112" s="807"/>
      <c r="W112" s="807"/>
      <c r="X112" s="807"/>
      <c r="Y112" s="807"/>
      <c r="Z112" s="807"/>
    </row>
    <row r="113" spans="1:26" ht="7.5" customHeight="1" x14ac:dyDescent="0.15">
      <c r="A113" s="813"/>
      <c r="B113" s="813"/>
      <c r="C113" s="813"/>
      <c r="D113" s="813"/>
      <c r="E113" s="813"/>
      <c r="F113" s="813"/>
      <c r="G113" s="813"/>
      <c r="H113" s="813"/>
      <c r="I113" s="813"/>
      <c r="J113" s="813"/>
      <c r="K113" s="813"/>
      <c r="L113" s="813"/>
      <c r="M113" s="813"/>
      <c r="N113" s="813"/>
      <c r="O113" s="813"/>
      <c r="P113" s="813"/>
      <c r="Q113" s="813"/>
      <c r="R113" s="813"/>
      <c r="S113" s="813"/>
      <c r="T113" s="813"/>
      <c r="U113" s="813"/>
      <c r="V113" s="813"/>
      <c r="W113" s="813"/>
      <c r="X113" s="813"/>
      <c r="Y113" s="813"/>
      <c r="Z113" s="813"/>
    </row>
    <row r="114" spans="1:26" ht="15" customHeight="1" x14ac:dyDescent="0.15">
      <c r="A114" s="806" t="s">
        <v>145</v>
      </c>
      <c r="B114" s="806"/>
      <c r="C114" s="806"/>
      <c r="D114" s="806"/>
      <c r="E114" s="806"/>
      <c r="F114" s="806"/>
      <c r="G114" s="806"/>
      <c r="H114" s="806"/>
      <c r="I114" s="806"/>
      <c r="J114" s="806"/>
      <c r="K114" s="806"/>
      <c r="L114" s="806"/>
      <c r="M114" s="806"/>
      <c r="N114" s="806"/>
      <c r="O114" s="806"/>
      <c r="P114" s="806"/>
      <c r="Q114" s="806"/>
      <c r="R114" s="806"/>
      <c r="S114" s="806"/>
      <c r="T114" s="806"/>
      <c r="U114" s="806"/>
      <c r="V114" s="806"/>
      <c r="W114" s="806"/>
      <c r="X114" s="806"/>
      <c r="Y114" s="806"/>
      <c r="Z114" s="806"/>
    </row>
  </sheetData>
  <sheetProtection algorithmName="SHA-512" hashValue="5Ds8y4lMYoIFcoZn8BPVGVUNodsbOGPGxaGw9YYtge5dJb133RqDv6yw4gl+g7PpGqDp6tc45/MgWOCtg+ILpA==" saltValue="SvJv1RWvMjVm999EInQwZA==" spinCount="100000" sheet="1" objects="1" scenarios="1"/>
  <protectedRanges>
    <protectedRange sqref="A110:Y110 A82:Y82 A31:Y32 A33:Z33" name="範囲1"/>
  </protectedRanges>
  <mergeCells count="88">
    <mergeCell ref="A57:Z57"/>
    <mergeCell ref="A86:Z86"/>
    <mergeCell ref="A84:Z84"/>
    <mergeCell ref="A113:Z113"/>
    <mergeCell ref="A51:Z51"/>
    <mergeCell ref="A52:Z52"/>
    <mergeCell ref="A53:Z53"/>
    <mergeCell ref="A54:Z54"/>
    <mergeCell ref="A55:Z55"/>
    <mergeCell ref="A56:Z56"/>
    <mergeCell ref="A83:Z83"/>
    <mergeCell ref="A85:Z85"/>
    <mergeCell ref="A87:Z87"/>
    <mergeCell ref="V110:Y110"/>
    <mergeCell ref="A109:B109"/>
    <mergeCell ref="C109:G109"/>
    <mergeCell ref="A50:Z50"/>
    <mergeCell ref="N41:Z41"/>
    <mergeCell ref="N42:Z42"/>
    <mergeCell ref="N44:Z44"/>
    <mergeCell ref="A45:Z45"/>
    <mergeCell ref="A46:Z46"/>
    <mergeCell ref="A42:M42"/>
    <mergeCell ref="A44:M44"/>
    <mergeCell ref="A41:M41"/>
    <mergeCell ref="A47:Z47"/>
    <mergeCell ref="A43:M43"/>
    <mergeCell ref="N43:Z43"/>
    <mergeCell ref="A48:Z48"/>
    <mergeCell ref="A49:Z49"/>
    <mergeCell ref="N39:Z39"/>
    <mergeCell ref="N40:Z40"/>
    <mergeCell ref="A36:M36"/>
    <mergeCell ref="A37:M37"/>
    <mergeCell ref="A38:M38"/>
    <mergeCell ref="A39:M39"/>
    <mergeCell ref="A40:M40"/>
    <mergeCell ref="N36:Z36"/>
    <mergeCell ref="N37:Z37"/>
    <mergeCell ref="N38:Z38"/>
    <mergeCell ref="V30:Y30"/>
    <mergeCell ref="V81:Y81"/>
    <mergeCell ref="A82:B82"/>
    <mergeCell ref="C82:G82"/>
    <mergeCell ref="H82:I82"/>
    <mergeCell ref="J82:M82"/>
    <mergeCell ref="N82:Q82"/>
    <mergeCell ref="R82:U82"/>
    <mergeCell ref="V82:Y82"/>
    <mergeCell ref="A30:B30"/>
    <mergeCell ref="C30:G30"/>
    <mergeCell ref="H30:I30"/>
    <mergeCell ref="J30:M30"/>
    <mergeCell ref="N30:Q30"/>
    <mergeCell ref="V31:Y31"/>
    <mergeCell ref="A33:M33"/>
    <mergeCell ref="N81:Q81"/>
    <mergeCell ref="H109:I109"/>
    <mergeCell ref="J109:M109"/>
    <mergeCell ref="N109:Q109"/>
    <mergeCell ref="R30:U30"/>
    <mergeCell ref="N33:Z33"/>
    <mergeCell ref="A34:M34"/>
    <mergeCell ref="A35:M35"/>
    <mergeCell ref="A31:B31"/>
    <mergeCell ref="C31:G31"/>
    <mergeCell ref="H31:I31"/>
    <mergeCell ref="J31:M31"/>
    <mergeCell ref="N31:Q31"/>
    <mergeCell ref="R31:U31"/>
    <mergeCell ref="N34:Z34"/>
    <mergeCell ref="N35:Z35"/>
    <mergeCell ref="R109:U109"/>
    <mergeCell ref="A114:Z114"/>
    <mergeCell ref="A112:Z112"/>
    <mergeCell ref="A111:Z111"/>
    <mergeCell ref="R81:U81"/>
    <mergeCell ref="V109:Y109"/>
    <mergeCell ref="A110:B110"/>
    <mergeCell ref="C110:G110"/>
    <mergeCell ref="H110:I110"/>
    <mergeCell ref="J110:M110"/>
    <mergeCell ref="N110:Q110"/>
    <mergeCell ref="R110:U110"/>
    <mergeCell ref="A81:B81"/>
    <mergeCell ref="C81:G81"/>
    <mergeCell ref="H81:I81"/>
    <mergeCell ref="J81:M81"/>
  </mergeCells>
  <phoneticPr fontId="1"/>
  <pageMargins left="0.39370078740157483" right="0.19685039370078741" top="0.39370078740157483" bottom="0.39370078740157483" header="0.19685039370078741" footer="0.19685039370078741"/>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DC75-4AF0-4032-B37B-DF40702CA85C}">
  <sheetPr>
    <pageSetUpPr fitToPage="1"/>
  </sheetPr>
  <dimension ref="B1:V44"/>
  <sheetViews>
    <sheetView topLeftCell="A45" zoomScale="70" zoomScaleNormal="70" workbookViewId="0">
      <selection activeCell="A45" sqref="A45"/>
    </sheetView>
  </sheetViews>
  <sheetFormatPr defaultColWidth="9" defaultRowHeight="14.25" x14ac:dyDescent="0.15"/>
  <cols>
    <col min="1" max="1" width="3.25" style="124" customWidth="1"/>
    <col min="2" max="3" width="16.625" style="124" customWidth="1"/>
    <col min="4" max="5" width="19.125" style="124" customWidth="1"/>
    <col min="6" max="7" width="9.75" style="124" customWidth="1"/>
    <col min="8" max="10" width="19.125" style="124" customWidth="1"/>
    <col min="11" max="11" width="5.25" style="125" bestFit="1" customWidth="1"/>
    <col min="12" max="12" width="17.75" style="126" customWidth="1"/>
    <col min="13" max="13" width="3.625" style="126" bestFit="1" customWidth="1"/>
    <col min="14" max="14" width="14.875" style="126" customWidth="1"/>
    <col min="15" max="15" width="3.125" style="125" bestFit="1" customWidth="1"/>
    <col min="16" max="16" width="14.625" style="125" customWidth="1"/>
    <col min="17" max="17" width="15.625" style="124" customWidth="1"/>
    <col min="18" max="19" width="18.625" style="124" customWidth="1"/>
    <col min="20" max="20" width="18" style="124" bestFit="1" customWidth="1"/>
    <col min="21" max="21" width="20.375" style="124" customWidth="1"/>
    <col min="22" max="16384" width="9" style="124"/>
  </cols>
  <sheetData>
    <row r="1" spans="2:22" ht="11.25" hidden="1" customHeight="1" thickBot="1" x14ac:dyDescent="0.2">
      <c r="F1" s="701"/>
      <c r="G1" s="701"/>
    </row>
    <row r="2" spans="2:22" ht="29.25" hidden="1" customHeight="1" x14ac:dyDescent="0.15">
      <c r="B2" s="127">
        <v>8</v>
      </c>
      <c r="C2" s="702" t="s">
        <v>187</v>
      </c>
      <c r="D2" s="703"/>
      <c r="E2" s="704"/>
      <c r="F2" s="704"/>
      <c r="G2" s="704"/>
      <c r="H2" s="704"/>
      <c r="I2" s="128" t="s">
        <v>188</v>
      </c>
      <c r="J2" s="129" t="s">
        <v>189</v>
      </c>
    </row>
    <row r="3" spans="2:22" ht="30" hidden="1" customHeight="1" thickBot="1" x14ac:dyDescent="0.2">
      <c r="B3" s="130" t="s">
        <v>190</v>
      </c>
      <c r="C3" s="131" t="s">
        <v>191</v>
      </c>
      <c r="D3" s="132" t="str">
        <f>IF('R08_国保税試算'!$D$21="","",'R08_国保税試算'!$D$21)</f>
        <v/>
      </c>
      <c r="E3" s="132" t="str">
        <f>IF('R08_国保税試算'!$D$22="","",'R08_国保税試算'!$D$22)</f>
        <v/>
      </c>
      <c r="F3" s="705" t="str">
        <f>IF('R08_国保税試算'!$D$23="","",'R08_国保税試算'!$D$23)</f>
        <v/>
      </c>
      <c r="G3" s="706"/>
      <c r="H3" s="132" t="str">
        <f>IF('R08_国保税試算'!$D$24="","",'R08_国保税試算'!$D$24)</f>
        <v/>
      </c>
      <c r="I3" s="133" t="str">
        <f>IF('R08_国保税試算'!$D$25="","",'R08_国保税試算'!$D$25)</f>
        <v/>
      </c>
      <c r="J3" s="134">
        <f>'R08_国保税試算'!E34</f>
        <v>0</v>
      </c>
    </row>
    <row r="4" spans="2:22" ht="30" hidden="1" customHeight="1" thickBot="1" x14ac:dyDescent="0.2">
      <c r="B4" s="707" t="s">
        <v>192</v>
      </c>
      <c r="C4" s="708"/>
      <c r="D4" s="135" t="str">
        <f>IF('R08_国保税試算'!J21="□","","未就学児")</f>
        <v/>
      </c>
      <c r="E4" s="136" t="str">
        <f>IF('R08_国保税試算'!J22="□","","未就学児")</f>
        <v/>
      </c>
      <c r="F4" s="709" t="str">
        <f>IF('R08_国保税試算'!J23="□","","未就学児")</f>
        <v/>
      </c>
      <c r="G4" s="709"/>
      <c r="H4" s="136" t="str">
        <f>IF('R08_国保税試算'!J24="□","","未就学児")</f>
        <v/>
      </c>
      <c r="I4" s="136" t="str">
        <f>IF('R08_国保税試算'!J25="□","","未就学児")</f>
        <v/>
      </c>
      <c r="J4" s="137" t="s">
        <v>193</v>
      </c>
    </row>
    <row r="5" spans="2:22" ht="30" hidden="1" customHeight="1" x14ac:dyDescent="0.15">
      <c r="B5" s="710" t="s">
        <v>194</v>
      </c>
      <c r="C5" s="710"/>
      <c r="D5" s="138">
        <f>'R08_国保税試算'!L21</f>
        <v>0</v>
      </c>
      <c r="E5" s="138">
        <f>'R08_国保税試算'!L22</f>
        <v>0</v>
      </c>
      <c r="F5" s="711">
        <f>'R08_国保税試算'!L23</f>
        <v>0</v>
      </c>
      <c r="G5" s="712"/>
      <c r="H5" s="138">
        <f>'R08_国保税試算'!L24</f>
        <v>0</v>
      </c>
      <c r="I5" s="139">
        <f>'R08_国保税試算'!L25</f>
        <v>0</v>
      </c>
      <c r="J5" s="139">
        <f>'R08_国保税試算'!L34</f>
        <v>0</v>
      </c>
      <c r="K5" s="713" t="s">
        <v>195</v>
      </c>
      <c r="L5" s="713"/>
      <c r="M5" s="713"/>
      <c r="N5" s="714">
        <f>D11+E11+F11+H11+I11+J11</f>
        <v>0</v>
      </c>
      <c r="O5" s="714"/>
      <c r="U5" s="140" t="s">
        <v>196</v>
      </c>
    </row>
    <row r="6" spans="2:22" ht="30" hidden="1" customHeight="1" x14ac:dyDescent="0.15">
      <c r="B6" s="715" t="s">
        <v>197</v>
      </c>
      <c r="C6" s="715"/>
      <c r="D6" s="141">
        <f>IF(D8+L20&lt;100000,L20,L20-(IF(L20&gt;100000,100000,L20)+IF(D8&gt;100000,100000,D8)-100000))</f>
        <v>0</v>
      </c>
      <c r="E6" s="141">
        <f>IF(E8+N20&lt;100000,N20,N20-(IF(N20&gt;100000,100000,N20)+IF(E8&gt;100000,100000,E8)-100000))</f>
        <v>0</v>
      </c>
      <c r="F6" s="716">
        <f>IF(F8+P20&lt;100000,P20,P20-(IF(P20&gt;100000,100000,P20)+IF(F8&gt;100000,100000,F8)-100000))</f>
        <v>0</v>
      </c>
      <c r="G6" s="717"/>
      <c r="H6" s="141">
        <f>IF(H8+Q20&lt;100000,Q20,Q20-(IF(Q20&gt;100000,100000,Q20)+IF(H8&gt;100000,100000,H8)-100000))</f>
        <v>0</v>
      </c>
      <c r="I6" s="141">
        <f>IF(I8+R20&lt;100000,R20,R20-(IF(R20&gt;100000,100000,R20)+IF(I8&gt;100000,100000,I8)-100000))</f>
        <v>0</v>
      </c>
      <c r="J6" s="141">
        <f>IF(J8+S20&lt;100000,S20,S20-(IF(S20&gt;100000,100000,S20)+IF(J8&gt;100000,100000,J8)-100000))</f>
        <v>0</v>
      </c>
      <c r="K6" s="718" t="s">
        <v>198</v>
      </c>
      <c r="L6" s="719"/>
      <c r="M6" s="719"/>
      <c r="N6" s="719"/>
      <c r="O6" s="719"/>
      <c r="P6" s="719"/>
      <c r="Q6" s="719"/>
      <c r="R6" s="719"/>
      <c r="S6" s="719"/>
      <c r="T6" s="719"/>
      <c r="U6" s="719"/>
      <c r="V6" s="142"/>
    </row>
    <row r="7" spans="2:22" ht="30" hidden="1" customHeight="1" x14ac:dyDescent="0.15">
      <c r="B7" s="720" t="s">
        <v>199</v>
      </c>
      <c r="C7" s="720"/>
      <c r="D7" s="143">
        <f>'R08_国保税試算'!Q21</f>
        <v>0</v>
      </c>
      <c r="E7" s="143">
        <f>'R08_国保税試算'!Q22</f>
        <v>0</v>
      </c>
      <c r="F7" s="721">
        <f>'R08_国保税試算'!Q23</f>
        <v>0</v>
      </c>
      <c r="G7" s="722"/>
      <c r="H7" s="143">
        <f>'R08_国保税試算'!Q24</f>
        <v>0</v>
      </c>
      <c r="I7" s="143">
        <f>'R08_国保税試算'!Q25</f>
        <v>0</v>
      </c>
      <c r="J7" s="143">
        <f>'R08_国保税試算'!Q34</f>
        <v>0</v>
      </c>
      <c r="K7" s="125" t="s">
        <v>200</v>
      </c>
      <c r="L7" s="144">
        <v>430000</v>
      </c>
      <c r="M7" s="144"/>
      <c r="N7" s="144"/>
      <c r="Q7" s="145" t="s">
        <v>201</v>
      </c>
      <c r="R7" s="146" t="s">
        <v>202</v>
      </c>
      <c r="T7" s="145"/>
      <c r="U7" s="147">
        <f>L7+IF(100000*(N16-1)&gt;0,100000*(N16-1),0)</f>
        <v>430000</v>
      </c>
    </row>
    <row r="8" spans="2:22" ht="30" hidden="1" customHeight="1" x14ac:dyDescent="0.15">
      <c r="B8" s="715" t="s">
        <v>203</v>
      </c>
      <c r="C8" s="715"/>
      <c r="D8" s="148">
        <f>IF(L20+D9+D10&lt;=10000000,L21,IF(L20+D9+D10&lt;=20000000,L22,L23))</f>
        <v>0</v>
      </c>
      <c r="E8" s="148">
        <f>IF(M20+E9+E10&lt;=10000000,M21,IF(M20+E9+E10&lt;=20000000,M22,M23))</f>
        <v>0</v>
      </c>
      <c r="F8" s="723">
        <f>IF(O20+F9+F10&lt;=10000000,O21,IF(O20+F9+F10&lt;=20000000,O22,O23))</f>
        <v>0</v>
      </c>
      <c r="G8" s="724"/>
      <c r="H8" s="148">
        <f>IF(Q20+H9+H10&lt;=10000000,Q21,IF(Q20+H9+H10&lt;=20000000,Q22,Q23))</f>
        <v>0</v>
      </c>
      <c r="I8" s="148">
        <f>IF(R20+I9+I10&lt;=10000000,R21,IF(R20+I9+I10&lt;=20000000,R22,R23))</f>
        <v>0</v>
      </c>
      <c r="J8" s="148">
        <f>IF(S20+J9+J10&lt;=10000000,S21,IF(S20+J9+J10&lt;=20000000,S22,S23))</f>
        <v>0</v>
      </c>
      <c r="K8" s="125" t="s">
        <v>204</v>
      </c>
      <c r="L8" s="144">
        <v>430000</v>
      </c>
      <c r="M8" s="144" t="s">
        <v>205</v>
      </c>
      <c r="N8" s="149">
        <v>310000</v>
      </c>
      <c r="O8" s="125" t="s">
        <v>206</v>
      </c>
      <c r="P8" s="125" t="s">
        <v>207</v>
      </c>
      <c r="Q8" s="145" t="s">
        <v>201</v>
      </c>
      <c r="R8" s="146" t="s">
        <v>208</v>
      </c>
      <c r="T8" s="145"/>
      <c r="U8" s="147">
        <f>L8+N8*L16+IF(100000*(N16-1)&gt;0,100000*(N16-1),0)</f>
        <v>430000</v>
      </c>
    </row>
    <row r="9" spans="2:22" ht="30" hidden="1" customHeight="1" x14ac:dyDescent="0.15">
      <c r="B9" s="720" t="s">
        <v>209</v>
      </c>
      <c r="C9" s="720"/>
      <c r="D9" s="143"/>
      <c r="E9" s="143"/>
      <c r="F9" s="721"/>
      <c r="G9" s="722"/>
      <c r="H9" s="143"/>
      <c r="I9" s="143"/>
      <c r="J9" s="143"/>
      <c r="K9" s="125" t="s">
        <v>210</v>
      </c>
      <c r="L9" s="144">
        <v>430000</v>
      </c>
      <c r="M9" s="144" t="s">
        <v>205</v>
      </c>
      <c r="N9" s="149">
        <v>570000</v>
      </c>
      <c r="O9" s="125" t="s">
        <v>206</v>
      </c>
      <c r="P9" s="125" t="s">
        <v>207</v>
      </c>
      <c r="Q9" s="145" t="s">
        <v>201</v>
      </c>
      <c r="R9" s="146" t="s">
        <v>208</v>
      </c>
      <c r="T9" s="145"/>
      <c r="U9" s="147">
        <f>L9+N9*L16+IF(100000*(N16-1)&gt;0,100000*(N16-1),0)</f>
        <v>430000</v>
      </c>
    </row>
    <row r="10" spans="2:22" ht="30" hidden="1" customHeight="1" x14ac:dyDescent="0.15">
      <c r="B10" s="720" t="s">
        <v>211</v>
      </c>
      <c r="C10" s="720"/>
      <c r="D10" s="143">
        <f>'R08_国保税試算'!V21</f>
        <v>0</v>
      </c>
      <c r="E10" s="143">
        <f>'R08_国保税試算'!V22</f>
        <v>0</v>
      </c>
      <c r="F10" s="721">
        <f>'R08_国保税試算'!V23</f>
        <v>0</v>
      </c>
      <c r="G10" s="722"/>
      <c r="H10" s="143">
        <f>'R08_国保税試算'!V24</f>
        <v>0</v>
      </c>
      <c r="I10" s="143">
        <f>'R08_国保税試算'!V25</f>
        <v>0</v>
      </c>
      <c r="J10" s="143">
        <f>'R08_国保税試算'!V34</f>
        <v>0</v>
      </c>
      <c r="K10" s="725" t="s">
        <v>212</v>
      </c>
      <c r="L10" s="726"/>
      <c r="M10" s="726"/>
      <c r="N10" s="726"/>
      <c r="O10" s="726"/>
      <c r="P10" s="726"/>
      <c r="Q10" s="726"/>
      <c r="R10" s="726"/>
      <c r="S10" s="726"/>
      <c r="T10" s="726"/>
      <c r="U10" s="726"/>
    </row>
    <row r="11" spans="2:22" ht="30" hidden="1" customHeight="1" x14ac:dyDescent="0.15">
      <c r="B11" s="715" t="s">
        <v>213</v>
      </c>
      <c r="C11" s="715"/>
      <c r="D11" s="150">
        <f>D6+D8+D9+D10</f>
        <v>0</v>
      </c>
      <c r="E11" s="148">
        <f>E6+E8+E9+E10</f>
        <v>0</v>
      </c>
      <c r="F11" s="727">
        <f>F6+F8+F9+F10</f>
        <v>0</v>
      </c>
      <c r="G11" s="728"/>
      <c r="H11" s="148">
        <f>H6+H8+H9+H10</f>
        <v>0</v>
      </c>
      <c r="I11" s="148">
        <f>I6+I8+I9+I10</f>
        <v>0</v>
      </c>
      <c r="J11" s="148">
        <f>J6+J8+J9+J10</f>
        <v>0</v>
      </c>
      <c r="K11" s="725" t="s">
        <v>214</v>
      </c>
      <c r="L11" s="726"/>
      <c r="M11" s="726"/>
      <c r="N11" s="726"/>
      <c r="O11" s="726"/>
      <c r="P11" s="726"/>
      <c r="Q11" s="726"/>
      <c r="R11" s="726"/>
      <c r="S11" s="726"/>
      <c r="T11" s="726"/>
      <c r="U11" s="726"/>
    </row>
    <row r="12" spans="2:22" ht="30" hidden="1" customHeight="1" x14ac:dyDescent="0.15">
      <c r="B12" s="701"/>
      <c r="C12" s="701"/>
      <c r="D12" s="151"/>
      <c r="E12" s="151"/>
      <c r="F12" s="729"/>
      <c r="G12" s="729"/>
      <c r="H12" s="152"/>
      <c r="I12" s="152"/>
      <c r="K12" s="726" t="s">
        <v>215</v>
      </c>
      <c r="L12" s="726"/>
      <c r="M12" s="726"/>
      <c r="N12" s="726"/>
      <c r="O12" s="726"/>
      <c r="P12" s="726"/>
      <c r="Q12" s="726"/>
      <c r="R12" s="726"/>
      <c r="S12" s="726"/>
      <c r="T12" s="726"/>
      <c r="U12" s="726"/>
    </row>
    <row r="13" spans="2:22" ht="10.5" hidden="1" customHeight="1" x14ac:dyDescent="0.15">
      <c r="B13" s="701"/>
      <c r="C13" s="701"/>
      <c r="D13" s="152"/>
      <c r="E13" s="152"/>
      <c r="F13" s="730"/>
      <c r="G13" s="730"/>
      <c r="H13" s="152"/>
      <c r="I13" s="152"/>
    </row>
    <row r="14" spans="2:22" ht="24" hidden="1" customHeight="1" x14ac:dyDescent="0.15">
      <c r="B14" s="153" t="s">
        <v>216</v>
      </c>
      <c r="C14" s="154"/>
      <c r="D14" s="155">
        <v>66</v>
      </c>
      <c r="E14" s="156" t="s">
        <v>217</v>
      </c>
      <c r="F14" s="736"/>
      <c r="G14" s="736"/>
      <c r="K14" s="713"/>
      <c r="L14" s="737" t="s">
        <v>218</v>
      </c>
      <c r="M14" s="737" t="s">
        <v>219</v>
      </c>
      <c r="N14" s="737"/>
      <c r="O14" s="738" t="s">
        <v>220</v>
      </c>
      <c r="P14" s="738"/>
      <c r="Q14" s="731" t="s">
        <v>221</v>
      </c>
      <c r="R14" s="732" t="s">
        <v>222</v>
      </c>
    </row>
    <row r="15" spans="2:22" ht="31.5" hidden="1" customHeight="1" x14ac:dyDescent="0.15">
      <c r="B15" s="157" t="s">
        <v>223</v>
      </c>
      <c r="C15" s="158">
        <v>7.97</v>
      </c>
      <c r="D15" s="159">
        <f>IF(D3&lt;75,IF(D11&lt;430000,0,ROUNDDOWN((D11-430000)*(C15/100),0)),0)</f>
        <v>0</v>
      </c>
      <c r="E15" s="160">
        <f>IF(E3&lt;75,IF(E11&lt;430000,0,ROUNDDOWN((E11-430000)*(C15/100),0)),0)</f>
        <v>0</v>
      </c>
      <c r="F15" s="733">
        <f>IF(F3&lt;75,IF(F11&lt;430000,0,ROUNDDOWN((F11-430000)*(C15/100),0)),0)</f>
        <v>0</v>
      </c>
      <c r="G15" s="734"/>
      <c r="H15" s="160">
        <f>IF(H3&lt;75,IF(H11&lt;430000,0,ROUNDDOWN((H11-430000)*(C15/100),0)),0)</f>
        <v>0</v>
      </c>
      <c r="I15" s="160">
        <f>IF(I3&lt;75,IF(I11&lt;430000,0,ROUNDDOWN((I11-430000)*(C15/100),0)),0)</f>
        <v>0</v>
      </c>
      <c r="J15" s="268">
        <f>SUM(D15:I15)</f>
        <v>0</v>
      </c>
      <c r="K15" s="713"/>
      <c r="L15" s="737"/>
      <c r="M15" s="737"/>
      <c r="N15" s="737"/>
      <c r="O15" s="738"/>
      <c r="P15" s="738"/>
      <c r="Q15" s="731"/>
      <c r="R15" s="732"/>
    </row>
    <row r="16" spans="2:22" ht="31.5" hidden="1" customHeight="1" thickBot="1" x14ac:dyDescent="0.25">
      <c r="B16" s="161" t="s">
        <v>224</v>
      </c>
      <c r="C16" s="162">
        <v>48420</v>
      </c>
      <c r="D16" s="159">
        <f>IF(D3="",0,IF(D3&lt;75,IF(D4="未就学児",$C$16/2,$C$16),0))</f>
        <v>0</v>
      </c>
      <c r="E16" s="159">
        <f>IF(E3="",0,IF(E3&lt;75,IF(E4="未就学児",$C$16/2,$C$16),0))</f>
        <v>0</v>
      </c>
      <c r="F16" s="733">
        <f>IF(F3="",0,IF(F3&lt;75,IF(F4="未就学児",$C$16/2,$C$16),0))</f>
        <v>0</v>
      </c>
      <c r="G16" s="734"/>
      <c r="H16" s="160">
        <f>IF(H3="",0,IF(H3&lt;75,IF(H4="未就学児",$C$16/2,$C$16),0))</f>
        <v>0</v>
      </c>
      <c r="I16" s="160">
        <f>IF(I3="",0,IF(I3&lt;75,IF(I4="未就学児",$C$16/2,$C$16),0))</f>
        <v>0</v>
      </c>
      <c r="J16" s="268">
        <f>SUM(D16:I16)</f>
        <v>0</v>
      </c>
      <c r="L16" s="163">
        <f>COUNTIF($D$4:$I$4,"未就学児")+IF(J4="特定同一",1,0)</f>
        <v>0</v>
      </c>
      <c r="M16" s="731">
        <f>IF(AND(D5&lt;=550000,IF(D3&gt;=65,D7&lt;=1250000,D7&lt;=600000)),0,1)+IF(AND(E5&lt;=550000,IF(E3&gt;=65,E7&lt;=1250000,E7&lt;=600000)),0,1)+IF(AND(E5&lt;=550000,IF(F3&gt;=65,F7&lt;=1250000,F7&lt;=600000)),0,1)+IF(AND(F5&lt;=550000,IF(H3&gt;=65,H7&lt;=1250000,H7&lt;=600000)),0,1)+IF(AND(H5&lt;=550000,IF(I3&gt;=65,I7&lt;=1250000,I7&lt;=600000)),0,1)+IF(AND(I5&lt;=550000,IF(J3&gt;=65,J7&lt;=1250000,J7&lt;=600000)),0,1)</f>
        <v>0</v>
      </c>
      <c r="N16" s="731"/>
      <c r="O16" s="735">
        <f>IF(D3&lt;65,0,IF((D8-150000)&gt;0,150000,D8))+IF(E3&lt;65,0,IF((E8-150000)&gt;0,150000,E8))+IF(F3&lt;65,0,IF((F8-150000)&gt;0,150000,F8))+IF(H3&lt;65,0,IF((H8-150000)&gt;0,150000,H8))+IF(I3&lt;65,0,IF((I8-150000)&gt;0,150000,I8))+IF(J3&lt;65,0,IF((J8-150000)&gt;0,150000,J8))</f>
        <v>0</v>
      </c>
      <c r="P16" s="735"/>
      <c r="Q16" s="164">
        <f>N5-O16</f>
        <v>0</v>
      </c>
      <c r="R16" s="165" t="str">
        <f>IF(Q16&lt;=U7,"７",IF(Q16&lt;=U8,"５",IF(Q16&lt;=U9,"２","軽減ナシ")))</f>
        <v>７</v>
      </c>
      <c r="T16" s="166"/>
      <c r="U16" s="167"/>
    </row>
    <row r="17" spans="2:21" ht="31.5" hidden="1" customHeight="1" thickTop="1" thickBot="1" x14ac:dyDescent="0.2">
      <c r="B17" s="720" t="s">
        <v>225</v>
      </c>
      <c r="C17" s="739"/>
      <c r="D17" s="168">
        <f>IF(ROUNDDOWN(D15+E15+F15+H15+I15+D16+E16+F16+H16+I16,-2)&lt;=($D$14*10000),ROUNDDOWN(D15+E15+F15+H15+I15+D16+E16+F16+H16+I16,-2),($D$14*10000))</f>
        <v>0</v>
      </c>
      <c r="E17" s="740" t="s">
        <v>226</v>
      </c>
      <c r="F17" s="741"/>
      <c r="G17" s="169"/>
      <c r="L17" s="170"/>
      <c r="M17" s="742"/>
      <c r="N17" s="742"/>
      <c r="O17" s="742"/>
      <c r="P17" s="742"/>
      <c r="Q17" s="170"/>
      <c r="R17" s="170"/>
    </row>
    <row r="18" spans="2:21" ht="11.25" hidden="1" customHeight="1" thickTop="1" x14ac:dyDescent="0.15">
      <c r="B18" s="701"/>
      <c r="C18" s="701"/>
      <c r="D18" s="171"/>
      <c r="E18" s="169"/>
      <c r="F18" s="743"/>
      <c r="G18" s="743"/>
    </row>
    <row r="19" spans="2:21" ht="24" hidden="1" customHeight="1" x14ac:dyDescent="0.15">
      <c r="B19" s="172" t="s">
        <v>227</v>
      </c>
      <c r="C19" s="154"/>
      <c r="D19" s="173"/>
      <c r="E19" s="173">
        <v>26</v>
      </c>
      <c r="F19" s="746" t="s">
        <v>217</v>
      </c>
      <c r="G19" s="746"/>
      <c r="K19" s="174"/>
      <c r="L19" s="175" t="s">
        <v>228</v>
      </c>
      <c r="M19" s="747" t="s">
        <v>229</v>
      </c>
      <c r="N19" s="748"/>
      <c r="O19" s="749" t="s">
        <v>230</v>
      </c>
      <c r="P19" s="750"/>
      <c r="Q19" s="175" t="s">
        <v>231</v>
      </c>
      <c r="R19" s="175" t="s">
        <v>232</v>
      </c>
      <c r="S19" s="176" t="s">
        <v>233</v>
      </c>
    </row>
    <row r="20" spans="2:21" ht="31.5" hidden="1" customHeight="1" x14ac:dyDescent="0.15">
      <c r="B20" s="157" t="s">
        <v>223</v>
      </c>
      <c r="C20" s="177">
        <v>2.85</v>
      </c>
      <c r="D20" s="159">
        <f>IF(D3&lt;75,IF(D11&lt;430000,0,ROUNDDOWN((D11-430000)*(C20/100),0)),0)</f>
        <v>0</v>
      </c>
      <c r="E20" s="160">
        <f>IF(E3&lt;75,IF(E11&lt;430000,0,ROUNDDOWN((E11-430000)*(C20/100),0)),0)</f>
        <v>0</v>
      </c>
      <c r="F20" s="733">
        <f>IF(F3&lt;75,IF(F11&lt;430000,0,ROUNDDOWN((F11-430000)*(C20/100),0)),0)</f>
        <v>0</v>
      </c>
      <c r="G20" s="734"/>
      <c r="H20" s="160">
        <f>IF(H3&lt;75,IF(H11&lt;430000,0,ROUNDDOWN((H11-430000)*(C20/100),0)),0)</f>
        <v>0</v>
      </c>
      <c r="I20" s="160">
        <f>IF(I3&lt;75,IF(I11&lt;430000,0,ROUNDDOWN((I11-430000)*(C20/100),0)),0)</f>
        <v>0</v>
      </c>
      <c r="J20" s="268">
        <f>SUM(D20:I20)</f>
        <v>0</v>
      </c>
      <c r="K20" s="178" t="s">
        <v>234</v>
      </c>
      <c r="L20" s="166" cm="1">
        <f t="array" ref="L20">_xlfn.IFS(D5&lt;651000,0,D5&lt;1900000,D5-650000,D5&lt;3600000,INT(D5/4000)*4000*0.7-80000,D5&lt;6600000,INT(D5/4000)*4000*0.8-440000,D5&lt;8500000,D5*0.9-1100000,D5&gt;8499999,D5-1950000)</f>
        <v>0</v>
      </c>
      <c r="M20" s="166"/>
      <c r="N20" s="166" cm="1">
        <f t="array" ref="N20">_xlfn.IFS(E5&lt;651000,0,E5&lt;1900000,E5-650000,E5&lt;3600000,INT(E5/4000)*4000*0.7-80000,E5&lt;6600000,INT(E5/4000)*4000*0.8-440000,E5&lt;8500000,E5*0.9-1100000,E5&gt;8499999,E5-1950000)</f>
        <v>0</v>
      </c>
      <c r="O20" s="166" cm="1">
        <f t="array" ref="O20">_xlfn.IFS(G5&lt;651000,0,G5&lt;1900000,G5-650000,G5&lt;3600000,INT(G5/4000)*4000*0.7-80000,G5&lt;6600000,INT(G5/4000)*4000*0.8-440000,G5&lt;8500000,G5*0.9-1100000,G5&gt;8499999,G5-1950000)</f>
        <v>0</v>
      </c>
      <c r="P20" s="166" cm="1">
        <f t="array" ref="P20">_xlfn.IFS(F5&lt;651000,0,F5&lt;1900000,F5-650000,F5&lt;3600000,INT(F5/4000)*4000*0.7-80000,F5&lt;6600000,INT(F5/4000)*4000*0.8-440000,F5&lt;8500000,F5*0.9-1100000,F5&gt;8499999,F5-1950000)</f>
        <v>0</v>
      </c>
      <c r="Q20" s="166" cm="1">
        <f t="array" ref="Q20">_xlfn.IFS(H5&lt;651000,0,H5&lt;1900000,H5-650000,H5&lt;3600000,INT(H5/4000)*4000*0.7-80000,H5&lt;6600000,INT(H5/4000)*4000*0.8-440000,H5&lt;8500000,H5*0.9-1100000,H5&gt;8499999,H5-1950000)</f>
        <v>0</v>
      </c>
      <c r="R20" s="166" cm="1">
        <f t="array" ref="R20">_xlfn.IFS(I5&lt;651000,0,I5&lt;1900000,I5-650000,I5&lt;3600000,INT(I5/4000)*4000*0.7-80000,I5&lt;6600000,INT(I5/4000)*4000*0.8-440000,I5&lt;8500000,I5*0.9-1100000,I5&gt;8499999,I5-1950000)</f>
        <v>0</v>
      </c>
      <c r="S20" s="166" cm="1">
        <f t="array" ref="S20">_xlfn.IFS(J5&lt;651000,0,J5&lt;1900000,J5-650000,J5&lt;3600000,INT(J5/4000)*4000*0.7-80000,J5&lt;6600000,INT(J5/4000)*4000*0.8-440000,J5&lt;8500000,J5*0.9-1100000,J5&gt;8499999,J5-1950000)</f>
        <v>0</v>
      </c>
    </row>
    <row r="21" spans="2:21" ht="31.5" hidden="1" customHeight="1" thickBot="1" x14ac:dyDescent="0.2">
      <c r="B21" s="161" t="s">
        <v>224</v>
      </c>
      <c r="C21" s="179">
        <v>17202</v>
      </c>
      <c r="D21" s="160">
        <f>IF(D3="",0,IF(D3&lt;75,IF(D4="未就学児",$C$21/2,$C$21),0))</f>
        <v>0</v>
      </c>
      <c r="E21" s="160">
        <f>IF(E3="",0,IF(E3&lt;75,IF(E4="未就学児",$C$21/2,$C$21),0))</f>
        <v>0</v>
      </c>
      <c r="F21" s="733">
        <f>IF(F3="",0,IF(F3&lt;75,IF(F4="未就学児",$C$21/2,$C$21),0))</f>
        <v>0</v>
      </c>
      <c r="G21" s="734"/>
      <c r="H21" s="160">
        <f>IF(H3="",0,IF(H3&lt;75,IF(H4="未就学児",$C$21/2,$C$21),0))</f>
        <v>0</v>
      </c>
      <c r="I21" s="160">
        <f>IF(I3="",0,IF(I3&lt;75,IF(I4="未就学児",$C$21/2,$C$21),0))</f>
        <v>0</v>
      </c>
      <c r="J21" s="268">
        <f>SUM(D21:I21)</f>
        <v>0</v>
      </c>
      <c r="K21" s="174" t="s">
        <v>228</v>
      </c>
      <c r="L21" s="180">
        <f>ROUNDDOWN(IF(D3&gt;64,IF(D7&lt;=1100000,0,IF(D7&lt;=3299999,D7-1100000,IF(D7&lt;=4099999,D7*0.75-275000,IF(D7&lt;=7699999,D7*0.85-685000,IF(D7&lt;=9999999,D7*0.95-1455000,D7-1955000))))),IF(D7&lt;=600000,0,IF(D7&lt;=1299999,D7-600000,IF(D7&lt;=4099999,D7*0.75-275000,IF(D7&lt;=7699999,D7*0.85-685000,IF(D7&lt;=9999999,D7*0.95-1455000,D7-1955000)))))),0)</f>
        <v>0</v>
      </c>
      <c r="M21" s="181">
        <f t="shared" ref="M21" si="0">ROUNDDOWN(IF(E3&gt;64,IF(E7&lt;=1100000,0,IF(E7&lt;=3299999,E7-1100000,IF(E7&lt;=4099999,E7*0.75-275000,IF(E7&lt;=7699999,E7*0.85-685000,IF(E7&lt;=9999999,E7*0.95-1455000,E7-1955000))))),IF(E7&lt;=600000,0,IF(E7&lt;=1299999,E7-600000,IF(E7&lt;=4099999,E7*0.75-275000,IF(E7&lt;=7699999,E7*0.85-685000,IF(E7&lt;=9999999,E7*0.95-1455000,E7-1955000)))))),0)</f>
        <v>0</v>
      </c>
      <c r="N21" s="182"/>
      <c r="O21" s="181">
        <f>ROUNDDOWN(IF(F3&gt;64,IF(F7&lt;=1100000,0,IF(F7&lt;=3299999,F7-1100000,IF(F7&lt;=4099999,F7*0.75-275000,IF(F7&lt;=7699999,F7*0.85-685000,IF(F7&lt;=9999999,F7*0.95-1455000,F7-1955000))))),IF(F7&lt;=600000,0,IF(F7&lt;=1299999,F7-600000,IF(F7&lt;=4099999,F7*0.75-275000,IF(F7&lt;=7699999,F7*0.85-685000,IF(F7&lt;=9999999,F7*0.95-1455000,F7-1955000)))))),0)</f>
        <v>0</v>
      </c>
      <c r="P21" s="182"/>
      <c r="Q21" s="180">
        <f>ROUNDDOWN(IF(H3&gt;64,IF(H7&lt;=1100000,0,IF(H7&lt;=3299999,H7-1100000,IF(H7&lt;=4099999,H7*0.75-275000,IF(H7&lt;=7699999,H7*0.85-685000,IF(H7&lt;=9999999,H7*0.95-1455000,H7-1955000))))),IF(H7&lt;=600000,0,IF(H7&lt;=1299999,H7-600000,IF(H7&lt;=4099999,H7*0.75-275000,IF(H7&lt;=7699999,H7*0.85-685000,IF(H7&lt;=9999999,H7*0.95-1455000,H7-1955000)))))),0)</f>
        <v>0</v>
      </c>
      <c r="R21" s="180">
        <f>ROUNDDOWN(IF(I3&gt;64,IF(I7&lt;=1100000,0,IF(I7&lt;=3299999,I7-1100000,IF(I7&lt;=4099999,I7*0.75-275000,IF(I7&lt;=7699999,I7*0.85-685000,IF(I7&lt;=9999999,I7*0.95-1455000,I7-1955000))))),IF(I7&lt;=600000,0,IF(I7&lt;=1299999,I7-600000,IF(I7&lt;=4099999,I7*0.75-275000,IF(I7&lt;=7699999,I7*0.85-685000,IF(I7&lt;=9999999,I7*0.95-1455000,I7-1955000)))))),0)</f>
        <v>0</v>
      </c>
      <c r="S21" s="180">
        <f>ROUNDDOWN(IF(J3&gt;64,IF(J7&lt;=1100000,0,IF(J7&lt;=3299999,J7-1100000,IF(J7&lt;=4099999,J7*0.75-275000,IF(J7&lt;=7699999,J7*0.85-685000,IF(J7&lt;=9999999,J7*0.95-1455000,J7-1955000))))),IF(J7&lt;=600000,0,IF(J7&lt;=1299999,J7-600000,IF(J7&lt;=4099999,J7*0.75-275000,IF(J7&lt;=7699999,J7*0.85-685000,IF(J7&lt;=9999999,J7*0.95-1455000,J7-1955000)))))),0)</f>
        <v>0</v>
      </c>
    </row>
    <row r="22" spans="2:21" ht="31.5" hidden="1" customHeight="1" thickTop="1" thickBot="1" x14ac:dyDescent="0.2">
      <c r="B22" s="751" t="s">
        <v>235</v>
      </c>
      <c r="C22" s="752"/>
      <c r="D22" s="183">
        <f>IF(ROUNDDOWN(D20+E20+F20+H20+I20+D21+E21+F21+H21+I21,-2)&lt;=($E$19*10000),ROUNDDOWN(D20+E20+F20+H20+I20+D21+E21+F21+H21+I21,-2),($E$19*10000))</f>
        <v>0</v>
      </c>
      <c r="E22" s="744" t="s">
        <v>226</v>
      </c>
      <c r="F22" s="745"/>
      <c r="G22" s="169"/>
      <c r="K22" s="174" t="s">
        <v>229</v>
      </c>
      <c r="L22" s="180">
        <f>ROUNDDOWN(IF(D3&gt;64,IF(D7&lt;=1000000,0,IF(D7&lt;=3299999,D7-1000000,IF(D7&lt;=4099999,D7*0.75-175000,IF(D7&lt;=7699999,D7*0.85-585000,IF(D7&lt;=9999999,D7*0.95-1355000,D7-1855000))))),IF(D7&lt;=500000,0,IF(D7&lt;=1299999,D7-500000,IF(D7&lt;=4099999,D7*0.75-175000,IF(D7&lt;=7699999,D7*0.85-585000,IF(D7&lt;=9999999,D7*0.95-1355000,D7-1855000)))))),0)</f>
        <v>0</v>
      </c>
      <c r="M22" s="181">
        <f t="shared" ref="M22" si="1">ROUNDDOWN(IF(E3&gt;64,IF(E7&lt;=1000000,0,IF(E7&lt;=3299999,E7-1000000,IF(E7&lt;=4099999,E7*0.75-175000,IF(E7&lt;=7699999,E7*0.85-585000,IF(E7&lt;=9999999,E7*0.95-1355000,E7-1855000))))),IF(E7&lt;=500000,0,IF(E7&lt;=1299999,E7-500000,IF(E7&lt;=4099999,E7*0.75-175000,IF(E7&lt;=7699999,E7*0.85-585000,IF(E7&lt;=9999999,E7*0.95-1355000,E7-1855000)))))),0)</f>
        <v>0</v>
      </c>
      <c r="N22" s="182"/>
      <c r="O22" s="181">
        <f>ROUNDDOWN(IF(F3&gt;64,IF(F7&lt;=1000000,0,IF(F7&lt;=3299999,F7-1000000,IF(F7&lt;=4099999,F7*0.75-175000,IF(F7&lt;=7699999,F7*0.85-585000,IF(F7&lt;=9999999,F7*0.95-1355000,F7-1855000))))),IF(F7&lt;=500000,0,IF(F7&lt;=1299999,F7-500000,IF(F7&lt;=4099999,F7*0.75-175000,IF(F7&lt;=7699999,F7*0.85-585000,IF(F7&lt;=9999999,F7*0.95-1355000,F7-1855000)))))),0)</f>
        <v>0</v>
      </c>
      <c r="P22" s="182"/>
      <c r="Q22" s="180">
        <f>ROUNDDOWN(IF(H3&gt;64,IF(H7&lt;=1000000,0,IF(H7&lt;=3299999,H7-1000000,IF(H7&lt;=4099999,H7*0.75-175000,IF(H7&lt;=7699999,H7*0.85-585000,IF(H7&lt;=9999999,H7*0.95-1355000,H7-1855000))))),IF(H7&lt;=500000,0,IF(H7&lt;=1299999,H7-500000,IF(H7&lt;=4099999,H7*0.75-175000,IF(H7&lt;=7699999,H7*0.85-585000,IF(H7&lt;=9999999,H7*0.95-1355000,H7-1855000)))))),0)</f>
        <v>0</v>
      </c>
      <c r="R22" s="180">
        <f>ROUNDDOWN(IF(I3&gt;64,IF(I7&lt;=1000000,0,IF(I7&lt;=3299999,I7-1000000,IF(I7&lt;=4099999,I7*0.75-175000,IF(I7&lt;=7699999,I7*0.85-585000,IF(I7&lt;=9999999,I7*0.95-1355000,I7-1855000))))),IF(I7&lt;=500000,0,IF(I7&lt;=1299999,I7-500000,IF(I7&lt;=4099999,I7*0.75-175000,IF(I7&lt;=7699999,I7*0.85-585000,IF(I7&lt;=9999999,I7*0.95-1355000,I7-1855000)))))),0)</f>
        <v>0</v>
      </c>
      <c r="S22" s="180">
        <f>ROUNDDOWN(IF(J3&gt;64,IF(J7&lt;=1000000,0,IF(J7&lt;=3299999,J7-1000000,IF(J7&lt;=4099999,J7*0.75-175000,IF(J7&lt;=7699999,J7*0.85-585000,IF(J7&lt;=9999999,J7*0.95-1355000,J7-1855000))))),IF(J7&lt;=500000,0,IF(J7&lt;=1299999,J7-500000,IF(J7&lt;=4099999,J7*0.75-175000,IF(J7&lt;=7699999,J7*0.85-585000,IF(J7&lt;=9999999,J7*0.95-1355000,J7-1855000)))))),0)</f>
        <v>0</v>
      </c>
    </row>
    <row r="23" spans="2:21" ht="11.25" hidden="1" customHeight="1" thickTop="1" x14ac:dyDescent="0.15">
      <c r="B23" s="701"/>
      <c r="C23" s="701"/>
      <c r="D23" s="184"/>
      <c r="E23" s="169"/>
      <c r="F23" s="743"/>
      <c r="G23" s="743"/>
      <c r="K23" s="753" t="s">
        <v>230</v>
      </c>
      <c r="L23" s="185">
        <f>ROUNDDOWN(IF(D3&gt;64,IF(D7&lt;=900000,0,IF(D7&lt;=3299999,D7-900000,IF(D7&lt;=4099999,D7*0.75-75000,IF(D7&lt;=7699999,D7*0.85-485000,IF(D7&lt;=9999999,D7*0.95-1255000,D7-1755000))))),IF(D7&lt;=400000,0,IF(D7&lt;=1299999,D7-400000,IF(D7&lt;=4099999,D7*0.75-75000,IF(D7&lt;=7699999,D7*0.85-485000,IF(D7&lt;=9999999,D7*0.95-1255000,D7-1755000)))))),0)</f>
        <v>0</v>
      </c>
      <c r="M23" s="185">
        <f t="shared" ref="M23" si="2">ROUNDDOWN(IF(E3&gt;64,IF(E7&lt;=900000,0,IF(E7&lt;=3299999,E7-900000,IF(E7&lt;=4099999,E7*0.75-75000,IF(E7&lt;=7699999,E7*0.85-485000,IF(E7&lt;=9999999,E7*0.95-1255000,E7-1755000))))),IF(E7&lt;=400000,0,IF(E7&lt;=1299999,E7-400000,IF(E7&lt;=4099999,E7*0.75-75000,IF(E7&lt;=7699999,E7*0.85-485000,IF(E7&lt;=9999999,E7*0.95-1255000,E7-1755000)))))),0)</f>
        <v>0</v>
      </c>
      <c r="N23" s="185"/>
      <c r="O23" s="185">
        <f>ROUNDDOWN(IF(F3&gt;64,IF(F7&lt;=900000,0,IF(F7&lt;=3299999,F7-900000,IF(F7&lt;=4099999,F7*0.75-75000,IF(F7&lt;=7699999,F7*0.85-485000,IF(F7&lt;=9999999,F7*0.95-1255000,F7-1755000))))),IF(F7&lt;=400000,0,IF(F7&lt;=1299999,F7-400000,IF(F7&lt;=4099999,F7*0.75-75000,IF(F7&lt;=7699999,F7*0.85-485000,IF(F7&lt;=9999999,F7*0.95-1255000,F7-1755000)))))),0)</f>
        <v>0</v>
      </c>
      <c r="P23" s="185"/>
      <c r="Q23" s="185">
        <f>ROUNDDOWN(IF(H3&gt;64,IF(H7&lt;=900000,0,IF(H7&lt;=3299999,H7-900000,IF(H7&lt;=4099999,H7*0.75-75000,IF(H7&lt;=7699999,H7*0.85-485000,IF(H7&lt;=9999999,H7*0.95-1255000,H7-1755000))))),IF(H7&lt;=400000,0,IF(H7&lt;=1299999,H7-400000,IF(H7&lt;=4099999,H7*0.75-75000,IF(H7&lt;=7699999,H7*0.85-485000,IF(H7&lt;=9999999,H7*0.95-1255000,H7-1755000)))))),0)</f>
        <v>0</v>
      </c>
      <c r="R23" s="185">
        <f>ROUNDDOWN(IF(I3&gt;64,IF(I7&lt;=900000,0,IF(I7&lt;=3299999,I7-900000,IF(I7&lt;=4099999,I7*0.75-75000,IF(I7&lt;=7699999,I7*0.85-485000,IF(I7&lt;=9999999,I7*0.95-1255000,I7-1755000))))),IF(I7&lt;=400000,0,IF(I7&lt;=1299999,I7-400000,IF(I7&lt;=4099999,I7*0.75-75000,IF(I7&lt;=7699999,I7*0.85-485000,IF(I7&lt;=9999999,I7*0.95-1255000,I7-1755000)))))),0)</f>
        <v>0</v>
      </c>
      <c r="S23" s="185">
        <f>ROUNDDOWN(IF(J3&gt;64,IF(J7&lt;=900000,0,IF(J7&lt;=3299999,J7-900000,IF(J7&lt;=4099999,J7*0.75-75000,IF(J7&lt;=7699999,J7*0.85-485000,IF(J7&lt;=9999999,J7*0.95-1255000,J7-1755000))))),IF(J7&lt;=400000,0,IF(J7&lt;=1299999,J7-400000,IF(J7&lt;=4099999,J7*0.75-75000,IF(J7&lt;=7699999,J7*0.85-485000,IF(J7&lt;=9999999,J7*0.95-1255000,J7-1755000)))))),0)</f>
        <v>0</v>
      </c>
    </row>
    <row r="24" spans="2:21" ht="24" hidden="1" customHeight="1" x14ac:dyDescent="0.15">
      <c r="B24" s="153" t="s">
        <v>236</v>
      </c>
      <c r="C24" s="186"/>
      <c r="D24" s="173">
        <v>17</v>
      </c>
      <c r="E24" s="156" t="s">
        <v>217</v>
      </c>
      <c r="F24" s="187" t="s">
        <v>237</v>
      </c>
      <c r="G24" s="188"/>
      <c r="H24" s="189"/>
      <c r="I24" s="189"/>
      <c r="K24" s="754"/>
      <c r="L24" s="190"/>
      <c r="M24" s="190"/>
      <c r="N24" s="190"/>
      <c r="O24" s="190"/>
      <c r="P24" s="190"/>
      <c r="Q24" s="190"/>
      <c r="R24" s="190"/>
      <c r="S24" s="190"/>
    </row>
    <row r="25" spans="2:21" ht="31.5" hidden="1" customHeight="1" x14ac:dyDescent="0.15">
      <c r="B25" s="157" t="s">
        <v>238</v>
      </c>
      <c r="C25" s="177">
        <v>2.4700000000000002</v>
      </c>
      <c r="D25" s="159">
        <f>IF(D3&lt;65,IF(40&lt;=D3,IF(430000&lt;=D11,ROUNDDOWN((D11-430000)*(C25/100),0),0),0),0)</f>
        <v>0</v>
      </c>
      <c r="E25" s="160">
        <f>IF(E3&lt;65,IF(40&lt;=E3,IF(430000&lt;=E11,ROUNDDOWN((E11-430000)*(C25/100),0),0),0),0)</f>
        <v>0</v>
      </c>
      <c r="F25" s="733">
        <f>IF(F3&lt;65,IF(40&lt;=F3,IF(430000&lt;=F11,ROUNDDOWN((F11-430000)*(C25/100),0),0),0),0)</f>
        <v>0</v>
      </c>
      <c r="G25" s="734"/>
      <c r="H25" s="160">
        <f>IF(H3&lt;65,IF(40&lt;=H3,IF(430000&lt;=H11,ROUNDDOWN((H11-430000)*(C25/100),0),0),0),0)</f>
        <v>0</v>
      </c>
      <c r="I25" s="160">
        <f>IF(I3&lt;65,IF(40&lt;=I3,IF(430000&lt;=I11,ROUNDDOWN((I11-430000)*(C25/100),0),0),0),0)</f>
        <v>0</v>
      </c>
      <c r="J25" s="268">
        <f>SUM(D25:I25)</f>
        <v>0</v>
      </c>
    </row>
    <row r="26" spans="2:21" ht="31.5" hidden="1" customHeight="1" thickBot="1" x14ac:dyDescent="0.2">
      <c r="B26" s="161" t="s">
        <v>224</v>
      </c>
      <c r="C26" s="162">
        <v>17520</v>
      </c>
      <c r="D26" s="159">
        <f>IF(D3&lt;65,IF(40&lt;=D3,$C$26,0),0)</f>
        <v>0</v>
      </c>
      <c r="E26" s="160">
        <f>IF(E3&lt;65,IF(40&lt;=E3,$C$26,0),0)</f>
        <v>0</v>
      </c>
      <c r="F26" s="733">
        <f t="shared" ref="F26:G26" si="3">IF(F3&lt;65,IF(40&lt;=F3,$C$26,0),0)</f>
        <v>0</v>
      </c>
      <c r="G26" s="734">
        <f t="shared" si="3"/>
        <v>0</v>
      </c>
      <c r="H26" s="160">
        <f>IF(H3&lt;65,IF(40&lt;=H3,$C$26,0),0)</f>
        <v>0</v>
      </c>
      <c r="I26" s="160">
        <f>IF(I3&lt;65,IF(40&lt;=I3,$C$26,0),0)</f>
        <v>0</v>
      </c>
      <c r="J26" s="268">
        <f>SUM(D26:I26)</f>
        <v>0</v>
      </c>
      <c r="O26" s="126"/>
      <c r="P26" s="126"/>
      <c r="Q26" s="126"/>
      <c r="R26" s="126"/>
      <c r="S26" s="126"/>
      <c r="T26" s="126"/>
      <c r="U26" s="126"/>
    </row>
    <row r="27" spans="2:21" ht="31.5" hidden="1" customHeight="1" thickTop="1" thickBot="1" x14ac:dyDescent="0.2">
      <c r="B27" s="720" t="s">
        <v>239</v>
      </c>
      <c r="C27" s="739"/>
      <c r="D27" s="183">
        <f>IF(ROUNDDOWN(D25+E25+F25+H25+I25+D26+E26+F26+H26+I26,-2)&lt;=($D$24*10000),ROUNDDOWN(D25+E25+F25+H25+I25+D26+E26+F26+H26+I26,-2),($D$24*10000))</f>
        <v>0</v>
      </c>
      <c r="E27" s="744" t="s">
        <v>226</v>
      </c>
      <c r="F27" s="745"/>
      <c r="G27" s="169"/>
    </row>
    <row r="28" spans="2:21" ht="11.25" hidden="1" customHeight="1" thickTop="1" x14ac:dyDescent="0.15">
      <c r="B28" s="701"/>
      <c r="C28" s="701"/>
      <c r="D28" s="184"/>
      <c r="E28" s="169"/>
      <c r="F28" s="743"/>
      <c r="G28" s="743"/>
      <c r="K28" s="753" t="s">
        <v>230</v>
      </c>
      <c r="L28" s="185">
        <f>ROUNDDOWN(IF(D8&gt;64,IF(D12&lt;=900000,0,IF(D12&lt;=3299999,D12-900000,IF(D12&lt;=4099999,D12*0.75-75000,IF(D12&lt;=7699999,D12*0.85-485000,IF(D12&lt;=9999999,D12*0.95-1255000,D12-1755000))))),IF(D12&lt;=400000,0,IF(D12&lt;=1299999,D12-400000,IF(D12&lt;=4099999,D12*0.75-75000,IF(D12&lt;=7699999,D12*0.85-485000,IF(D12&lt;=9999999,D12*0.95-1255000,D12-1755000)))))),0)</f>
        <v>0</v>
      </c>
      <c r="M28" s="185">
        <f t="shared" ref="M28" si="4">ROUNDDOWN(IF(E8&gt;64,IF(E12&lt;=900000,0,IF(E12&lt;=3299999,E12-900000,IF(E12&lt;=4099999,E12*0.75-75000,IF(E12&lt;=7699999,E12*0.85-485000,IF(E12&lt;=9999999,E12*0.95-1255000,E12-1755000))))),IF(E12&lt;=400000,0,IF(E12&lt;=1299999,E12-400000,IF(E12&lt;=4099999,E12*0.75-75000,IF(E12&lt;=7699999,E12*0.85-485000,IF(E12&lt;=9999999,E12*0.95-1255000,E12-1755000)))))),0)</f>
        <v>0</v>
      </c>
      <c r="N28" s="185"/>
      <c r="O28" s="185">
        <f>ROUNDDOWN(IF(F8&gt;64,IF(F12&lt;=900000,0,IF(F12&lt;=3299999,F12-900000,IF(F12&lt;=4099999,F12*0.75-75000,IF(F12&lt;=7699999,F12*0.85-485000,IF(F12&lt;=9999999,F12*0.95-1255000,F12-1755000))))),IF(F12&lt;=400000,0,IF(F12&lt;=1299999,F12-400000,IF(F12&lt;=4099999,F12*0.75-75000,IF(F12&lt;=7699999,F12*0.85-485000,IF(F12&lt;=9999999,F12*0.95-1255000,F12-1755000)))))),0)</f>
        <v>0</v>
      </c>
      <c r="P28" s="185"/>
      <c r="Q28" s="185">
        <f>ROUNDDOWN(IF(H8&gt;64,IF(H12&lt;=900000,0,IF(H12&lt;=3299999,H12-900000,IF(H12&lt;=4099999,H12*0.75-75000,IF(H12&lt;=7699999,H12*0.85-485000,IF(H12&lt;=9999999,H12*0.95-1255000,H12-1755000))))),IF(H12&lt;=400000,0,IF(H12&lt;=1299999,H12-400000,IF(H12&lt;=4099999,H12*0.75-75000,IF(H12&lt;=7699999,H12*0.85-485000,IF(H12&lt;=9999999,H12*0.95-1255000,H12-1755000)))))),0)</f>
        <v>0</v>
      </c>
      <c r="R28" s="185">
        <f>ROUNDDOWN(IF(I8&gt;64,IF(I12&lt;=900000,0,IF(I12&lt;=3299999,I12-900000,IF(I12&lt;=4099999,I12*0.75-75000,IF(I12&lt;=7699999,I12*0.85-485000,IF(I12&lt;=9999999,I12*0.95-1255000,I12-1755000))))),IF(I12&lt;=400000,0,IF(I12&lt;=1299999,I12-400000,IF(I12&lt;=4099999,I12*0.75-75000,IF(I12&lt;=7699999,I12*0.85-485000,IF(I12&lt;=9999999,I12*0.95-1255000,I12-1755000)))))),0)</f>
        <v>0</v>
      </c>
      <c r="S28" s="185">
        <f>ROUNDDOWN(IF(J8&gt;64,IF(J12&lt;=900000,0,IF(J12&lt;=3299999,J12-900000,IF(J12&lt;=4099999,J12*0.75-75000,IF(J12&lt;=7699999,J12*0.85-485000,IF(J12&lt;=9999999,J12*0.95-1255000,J12-1755000))))),IF(J12&lt;=400000,0,IF(J12&lt;=1299999,J12-400000,IF(J12&lt;=4099999,J12*0.75-75000,IF(J12&lt;=7699999,J12*0.85-485000,IF(J12&lt;=9999999,J12*0.95-1255000,J12-1755000)))))),0)</f>
        <v>0</v>
      </c>
    </row>
    <row r="29" spans="2:21" ht="24" hidden="1" customHeight="1" x14ac:dyDescent="0.15">
      <c r="B29" s="757" t="s">
        <v>240</v>
      </c>
      <c r="C29" s="757"/>
      <c r="D29" s="173">
        <v>3</v>
      </c>
      <c r="E29" s="156" t="s">
        <v>217</v>
      </c>
      <c r="F29" s="187" t="s">
        <v>241</v>
      </c>
      <c r="G29" s="188"/>
      <c r="H29" s="189"/>
      <c r="I29" s="189"/>
      <c r="K29" s="754"/>
      <c r="L29" s="190"/>
      <c r="M29" s="190"/>
      <c r="N29" s="190"/>
      <c r="O29" s="190"/>
      <c r="P29" s="190"/>
      <c r="Q29" s="190"/>
      <c r="R29" s="190"/>
      <c r="S29" s="190"/>
    </row>
    <row r="30" spans="2:21" ht="31.5" hidden="1" customHeight="1" x14ac:dyDescent="0.15">
      <c r="B30" s="157" t="s">
        <v>238</v>
      </c>
      <c r="C30" s="177">
        <v>0.26</v>
      </c>
      <c r="D30" s="159">
        <f>IF(D3&lt;75,IF(D11&lt;430000,0,ROUNDDOWN((D11-430000)*($C$30/100),0)),0)</f>
        <v>0</v>
      </c>
      <c r="E30" s="160">
        <f t="shared" ref="E30:I30" si="5">IF(E3&lt;75,IF(E11&lt;430000,0,ROUNDDOWN((E11-430000)*($C$30/100),0)),0)</f>
        <v>0</v>
      </c>
      <c r="F30" s="733">
        <f t="shared" si="5"/>
        <v>0</v>
      </c>
      <c r="G30" s="734">
        <f t="shared" si="5"/>
        <v>0</v>
      </c>
      <c r="H30" s="160">
        <f t="shared" si="5"/>
        <v>0</v>
      </c>
      <c r="I30" s="160">
        <f t="shared" si="5"/>
        <v>0</v>
      </c>
      <c r="J30" s="268">
        <f>SUM(D30:I30)</f>
        <v>0</v>
      </c>
    </row>
    <row r="31" spans="2:21" ht="31.5" hidden="1" customHeight="1" x14ac:dyDescent="0.15">
      <c r="B31" s="161" t="s">
        <v>224</v>
      </c>
      <c r="C31" s="162">
        <v>1592</v>
      </c>
      <c r="D31" s="159">
        <f>IF(D3="",0,IF(D3&lt;75,IF(D3&lt;18,0,$C$31),0))</f>
        <v>0</v>
      </c>
      <c r="E31" s="160">
        <f t="shared" ref="E31:I31" si="6">IF(E3="",0,IF(E3&lt;75,IF(E3&lt;18,0,$C$31),0))</f>
        <v>0</v>
      </c>
      <c r="F31" s="733">
        <f t="shared" si="6"/>
        <v>0</v>
      </c>
      <c r="G31" s="734">
        <f t="shared" si="6"/>
        <v>0</v>
      </c>
      <c r="H31" s="160">
        <f t="shared" si="6"/>
        <v>0</v>
      </c>
      <c r="I31" s="160">
        <f t="shared" si="6"/>
        <v>0</v>
      </c>
      <c r="J31" s="268">
        <f>SUM(D31:I31)</f>
        <v>0</v>
      </c>
      <c r="O31" s="126"/>
      <c r="P31" s="126"/>
      <c r="Q31" s="126"/>
      <c r="R31" s="126"/>
      <c r="S31" s="126"/>
      <c r="T31" s="126"/>
      <c r="U31" s="126"/>
    </row>
    <row r="32" spans="2:21" ht="31.5" hidden="1" customHeight="1" x14ac:dyDescent="0.15">
      <c r="B32" s="157" t="s">
        <v>242</v>
      </c>
      <c r="C32" s="191">
        <v>110</v>
      </c>
      <c r="D32" s="160">
        <f>IF(D3="",0,IF(D3&lt;18,0,$C$32))</f>
        <v>0</v>
      </c>
      <c r="E32" s="160">
        <f t="shared" ref="E32:I32" si="7">IF(E3="",0,IF(E3&lt;18,0,$C$32))</f>
        <v>0</v>
      </c>
      <c r="F32" s="733">
        <f t="shared" si="7"/>
        <v>0</v>
      </c>
      <c r="G32" s="734">
        <f t="shared" si="7"/>
        <v>0</v>
      </c>
      <c r="H32" s="160">
        <f t="shared" si="7"/>
        <v>0</v>
      </c>
      <c r="I32" s="160">
        <f t="shared" si="7"/>
        <v>0</v>
      </c>
      <c r="J32" s="268">
        <f>SUM(D32:I32)</f>
        <v>0</v>
      </c>
      <c r="O32" s="126"/>
      <c r="P32" s="126"/>
      <c r="Q32" s="126"/>
      <c r="R32" s="126"/>
      <c r="S32" s="126"/>
      <c r="T32" s="126"/>
      <c r="U32" s="126"/>
    </row>
    <row r="33" spans="2:16" ht="31.5" hidden="1" customHeight="1" thickBot="1" x14ac:dyDescent="0.2">
      <c r="B33" s="758" t="s">
        <v>243</v>
      </c>
      <c r="C33" s="759"/>
      <c r="D33" s="192">
        <f>IF(ROUNDDOWN(D30+E30+F30+H30+I30+D31+E31+F31+H31+I31+D32+E32+F32+H32+I32,-2)&lt;=($D$29*10000),ROUNDDOWN(D30+E30+F30+H30+I30+D31+E31+F31+H31+I31+D32+E32+F32+H32+I32,-2),($D$29*10000))</f>
        <v>0</v>
      </c>
      <c r="E33" s="740" t="s">
        <v>226</v>
      </c>
      <c r="F33" s="741"/>
      <c r="G33" s="169"/>
      <c r="J33" s="268">
        <f>SUM(J31:J32)</f>
        <v>0</v>
      </c>
    </row>
    <row r="34" spans="2:16" ht="32.1" hidden="1" customHeight="1" thickTop="1" thickBot="1" x14ac:dyDescent="0.2">
      <c r="B34" s="760"/>
      <c r="C34" s="760"/>
      <c r="D34" s="193"/>
      <c r="E34" s="169"/>
      <c r="F34" s="761"/>
      <c r="G34" s="761"/>
    </row>
    <row r="35" spans="2:16" ht="31.5" hidden="1" customHeight="1" thickTop="1" thickBot="1" x14ac:dyDescent="0.2">
      <c r="B35" s="755" t="s">
        <v>244</v>
      </c>
      <c r="C35" s="756"/>
      <c r="D35" s="194">
        <f>D17+D22+D27+D33</f>
        <v>0</v>
      </c>
      <c r="E35" s="195" t="s">
        <v>245</v>
      </c>
      <c r="F35" s="733">
        <f>ROUNDDOWN(D35/12,0)</f>
        <v>0</v>
      </c>
      <c r="G35" s="734"/>
    </row>
    <row r="36" spans="2:16" ht="36" hidden="1" customHeight="1" thickTop="1" thickBot="1" x14ac:dyDescent="0.2">
      <c r="B36" s="701"/>
      <c r="C36" s="701"/>
      <c r="D36" s="196"/>
      <c r="E36" s="197"/>
      <c r="F36" s="773" t="str">
        <f>R16</f>
        <v>７</v>
      </c>
      <c r="G36" s="773"/>
      <c r="L36" s="126" t="s">
        <v>246</v>
      </c>
      <c r="N36" s="126" t="s">
        <v>247</v>
      </c>
      <c r="P36" s="125" t="s">
        <v>248</v>
      </c>
    </row>
    <row r="37" spans="2:16" ht="16.5" hidden="1" customHeight="1" thickBot="1" x14ac:dyDescent="0.2">
      <c r="B37" s="774" t="s">
        <v>249</v>
      </c>
      <c r="C37" s="775"/>
      <c r="D37" s="198" t="s">
        <v>250</v>
      </c>
      <c r="E37" s="199">
        <v>4</v>
      </c>
      <c r="F37" s="778" t="s">
        <v>251</v>
      </c>
      <c r="G37" s="779"/>
      <c r="H37" s="779"/>
      <c r="I37" s="779"/>
      <c r="L37" s="780">
        <f>■■■!E38</f>
        <v>0</v>
      </c>
      <c r="M37" s="200"/>
      <c r="N37" s="780">
        <f>■■!E38</f>
        <v>0</v>
      </c>
      <c r="O37" s="201"/>
      <c r="P37" s="762">
        <f>■!E38</f>
        <v>0</v>
      </c>
    </row>
    <row r="38" spans="2:16" ht="24" hidden="1" customHeight="1" thickTop="1" thickBot="1" x14ac:dyDescent="0.25">
      <c r="B38" s="776"/>
      <c r="C38" s="777"/>
      <c r="D38" s="202">
        <v>12</v>
      </c>
      <c r="E38" s="203">
        <f>ROUNDDOWN((D35*D38/12),-2)</f>
        <v>0</v>
      </c>
      <c r="G38" s="204">
        <v>4</v>
      </c>
      <c r="H38" s="763" t="s">
        <v>252</v>
      </c>
      <c r="I38" s="764"/>
      <c r="K38" s="124"/>
      <c r="L38" s="780"/>
      <c r="M38" s="205"/>
      <c r="N38" s="780"/>
      <c r="O38" s="205"/>
      <c r="P38" s="762"/>
    </row>
    <row r="39" spans="2:16" ht="27.2" hidden="1" customHeight="1" x14ac:dyDescent="0.15">
      <c r="B39" s="765" t="s">
        <v>253</v>
      </c>
      <c r="C39" s="766"/>
      <c r="D39" s="206" t="s">
        <v>254</v>
      </c>
      <c r="E39" s="207"/>
      <c r="G39" s="208">
        <f>D38</f>
        <v>12</v>
      </c>
      <c r="H39" s="209" t="s">
        <v>255</v>
      </c>
      <c r="I39" s="210"/>
      <c r="K39" s="124"/>
      <c r="L39" s="124"/>
      <c r="M39" s="124"/>
      <c r="N39" s="124"/>
      <c r="O39" s="124"/>
      <c r="P39" s="124"/>
    </row>
    <row r="40" spans="2:16" ht="24" hidden="1" customHeight="1" thickBot="1" x14ac:dyDescent="0.2">
      <c r="B40" s="767"/>
      <c r="C40" s="768"/>
      <c r="D40" s="211">
        <v>8</v>
      </c>
      <c r="E40" s="207"/>
      <c r="G40" s="208">
        <f>D40</f>
        <v>8</v>
      </c>
      <c r="H40" s="212" t="s">
        <v>256</v>
      </c>
      <c r="I40" s="213"/>
      <c r="K40" s="124"/>
      <c r="L40" s="124"/>
      <c r="M40" s="124"/>
      <c r="N40" s="124"/>
      <c r="O40" s="124"/>
      <c r="P40" s="124"/>
    </row>
    <row r="41" spans="2:16" ht="27.2" hidden="1" customHeight="1" thickTop="1" x14ac:dyDescent="0.2">
      <c r="B41" s="214"/>
      <c r="C41" s="214"/>
      <c r="D41" s="215" t="s">
        <v>257</v>
      </c>
      <c r="E41" s="215" t="s">
        <v>258</v>
      </c>
      <c r="G41" s="216">
        <v>7</v>
      </c>
      <c r="H41" s="769" t="s">
        <v>259</v>
      </c>
      <c r="I41" s="770"/>
      <c r="K41" s="124"/>
      <c r="L41" s="124"/>
      <c r="M41" s="124"/>
      <c r="N41" s="124"/>
      <c r="O41" s="124"/>
      <c r="P41" s="124"/>
    </row>
    <row r="42" spans="2:16" ht="24" hidden="1" customHeight="1" thickBot="1" x14ac:dyDescent="0.25">
      <c r="B42" s="214"/>
      <c r="C42" s="214"/>
      <c r="D42" s="217">
        <f>IF(D40="","",IF(D40=1,E38,IF(D40&lt;9,IF(D40&gt;1,E38-((D40-1)*E42),""),"")))</f>
        <v>0</v>
      </c>
      <c r="E42" s="217">
        <f>IF(D40="","",IF(D40&lt;9,IF(D40&gt;1,ROUNDDOWN(E38/D40,-2),""),""))</f>
        <v>0</v>
      </c>
      <c r="G42" s="218"/>
      <c r="H42" s="771"/>
      <c r="I42" s="772"/>
      <c r="K42" s="124"/>
      <c r="L42" s="205"/>
      <c r="M42" s="205"/>
      <c r="N42" s="205"/>
      <c r="O42" s="205"/>
      <c r="P42" s="205"/>
    </row>
    <row r="43" spans="2:16" ht="24" hidden="1" customHeight="1" thickTop="1" x14ac:dyDescent="0.15">
      <c r="K43" s="124"/>
      <c r="L43" s="124"/>
      <c r="M43" s="124"/>
      <c r="N43" s="124"/>
      <c r="O43" s="124"/>
      <c r="P43" s="124"/>
    </row>
    <row r="44" spans="2:16" hidden="1" x14ac:dyDescent="0.15"/>
  </sheetData>
  <sheetProtection algorithmName="SHA-512" hashValue="yWR0zCJ/PFNMR+Tpc6nlzzoBNNdvsjpqd06LYMy9pIUN5AjBvp7FsTgzsJPxGtrQofH59I7FmO+47I3JqPrTFA==" saltValue="jqaSKW9zz0L6A4gF7pHoSA==" spinCount="100000" sheet="1" objects="1" scenarios="1" selectLockedCells="1" selectUnlockedCells="1"/>
  <mergeCells count="84">
    <mergeCell ref="P37:P38"/>
    <mergeCell ref="H38:I38"/>
    <mergeCell ref="B39:C40"/>
    <mergeCell ref="H41:I42"/>
    <mergeCell ref="B36:C36"/>
    <mergeCell ref="F36:G36"/>
    <mergeCell ref="B37:C38"/>
    <mergeCell ref="F37:I37"/>
    <mergeCell ref="L37:L38"/>
    <mergeCell ref="N37:N38"/>
    <mergeCell ref="B35:C35"/>
    <mergeCell ref="F35:G35"/>
    <mergeCell ref="B28:C28"/>
    <mergeCell ref="F28:G28"/>
    <mergeCell ref="K28:K29"/>
    <mergeCell ref="B29:C29"/>
    <mergeCell ref="F30:G30"/>
    <mergeCell ref="F31:G31"/>
    <mergeCell ref="F32:G32"/>
    <mergeCell ref="B33:C33"/>
    <mergeCell ref="E33:F33"/>
    <mergeCell ref="B34:C34"/>
    <mergeCell ref="F34:G34"/>
    <mergeCell ref="B27:C27"/>
    <mergeCell ref="E27:F27"/>
    <mergeCell ref="F19:G19"/>
    <mergeCell ref="M19:N19"/>
    <mergeCell ref="O19:P19"/>
    <mergeCell ref="F20:G20"/>
    <mergeCell ref="F21:G21"/>
    <mergeCell ref="B22:C22"/>
    <mergeCell ref="E22:F22"/>
    <mergeCell ref="B23:C23"/>
    <mergeCell ref="F23:G23"/>
    <mergeCell ref="K23:K24"/>
    <mergeCell ref="F25:G25"/>
    <mergeCell ref="F26:G26"/>
    <mergeCell ref="B17:C17"/>
    <mergeCell ref="E17:F17"/>
    <mergeCell ref="M17:N17"/>
    <mergeCell ref="O17:P17"/>
    <mergeCell ref="B18:C18"/>
    <mergeCell ref="F18:G18"/>
    <mergeCell ref="Q14:Q15"/>
    <mergeCell ref="R14:R15"/>
    <mergeCell ref="F15:G15"/>
    <mergeCell ref="F16:G16"/>
    <mergeCell ref="M16:N16"/>
    <mergeCell ref="O16:P16"/>
    <mergeCell ref="F14:G14"/>
    <mergeCell ref="K14:K15"/>
    <mergeCell ref="L14:L15"/>
    <mergeCell ref="M14:N15"/>
    <mergeCell ref="O14:P15"/>
    <mergeCell ref="B12:C12"/>
    <mergeCell ref="F12:G12"/>
    <mergeCell ref="K12:U12"/>
    <mergeCell ref="B13:C13"/>
    <mergeCell ref="F13:G13"/>
    <mergeCell ref="B10:C10"/>
    <mergeCell ref="F10:G10"/>
    <mergeCell ref="K10:U10"/>
    <mergeCell ref="B11:C11"/>
    <mergeCell ref="F11:G11"/>
    <mergeCell ref="K11:U11"/>
    <mergeCell ref="B7:C7"/>
    <mergeCell ref="F7:G7"/>
    <mergeCell ref="B8:C8"/>
    <mergeCell ref="F8:G8"/>
    <mergeCell ref="B9:C9"/>
    <mergeCell ref="F9:G9"/>
    <mergeCell ref="B5:C5"/>
    <mergeCell ref="F5:G5"/>
    <mergeCell ref="K5:M5"/>
    <mergeCell ref="N5:O5"/>
    <mergeCell ref="B6:C6"/>
    <mergeCell ref="F6:G6"/>
    <mergeCell ref="K6:U6"/>
    <mergeCell ref="F1:G1"/>
    <mergeCell ref="C2:D2"/>
    <mergeCell ref="E2:H2"/>
    <mergeCell ref="F3:G3"/>
    <mergeCell ref="B4:C4"/>
    <mergeCell ref="F4:G4"/>
  </mergeCells>
  <phoneticPr fontId="1"/>
  <dataValidations count="1">
    <dataValidation type="list" allowBlank="1" showInputMessage="1" showErrorMessage="1" sqref="J4" xr:uid="{95C07F69-EFEC-436F-899C-728AA0478538}">
      <formula1>"　,特定同一"</formula1>
    </dataValidation>
  </dataValidations>
  <pageMargins left="0.7" right="0.21" top="0.75" bottom="0.75" header="0.3" footer="0.3"/>
  <pageSetup paperSize="9" scale="69" orientation="portrait" horizontalDpi="300" verticalDpi="300" r:id="rId1"/>
  <colBreaks count="1" manualBreakCount="1">
    <brk id="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3CE2A-EDBE-4236-A1C3-ABC6AA3214FB}">
  <dimension ref="A1:U45"/>
  <sheetViews>
    <sheetView topLeftCell="A45" zoomScale="60" zoomScaleNormal="60" workbookViewId="0">
      <selection activeCell="B45" sqref="B45"/>
    </sheetView>
  </sheetViews>
  <sheetFormatPr defaultColWidth="9" defaultRowHeight="13.5" x14ac:dyDescent="0.15"/>
  <cols>
    <col min="1" max="1" width="3.375" style="124" customWidth="1"/>
    <col min="2" max="3" width="16.625" style="124" customWidth="1"/>
    <col min="4" max="5" width="15.625" style="124" customWidth="1"/>
    <col min="6" max="6" width="10.125" style="124" customWidth="1"/>
    <col min="7" max="7" width="6.25" style="124" customWidth="1"/>
    <col min="8" max="9" width="15.625" style="124" customWidth="1"/>
    <col min="10" max="10" width="11.125" style="124" bestFit="1" customWidth="1"/>
    <col min="11" max="16384" width="9" style="124"/>
  </cols>
  <sheetData>
    <row r="1" spans="1:10" ht="11.25" hidden="1" customHeight="1" thickBot="1" x14ac:dyDescent="0.2">
      <c r="A1" s="124" t="s">
        <v>260</v>
      </c>
      <c r="F1" s="783"/>
      <c r="G1" s="783"/>
    </row>
    <row r="2" spans="1:10" ht="29.25" hidden="1" customHeight="1" thickTop="1" x14ac:dyDescent="0.15">
      <c r="B2" s="219">
        <f>□!B2</f>
        <v>8</v>
      </c>
      <c r="C2" s="784" t="str">
        <f>□!C2:D2</f>
        <v>年齢はＲ8年１月１日現在</v>
      </c>
      <c r="D2" s="785"/>
      <c r="E2" s="220"/>
      <c r="F2" s="220"/>
      <c r="G2" s="220"/>
      <c r="H2" s="221" t="s">
        <v>261</v>
      </c>
      <c r="I2" s="222">
        <v>7</v>
      </c>
      <c r="J2" s="166"/>
    </row>
    <row r="3" spans="1:10" ht="30" hidden="1" customHeight="1" thickBot="1" x14ac:dyDescent="0.2">
      <c r="B3" s="223" t="s">
        <v>190</v>
      </c>
      <c r="C3" s="131" t="s">
        <v>191</v>
      </c>
      <c r="D3" s="224" t="str">
        <f>IF(LENB(□!D3)=0,"",□!D3)</f>
        <v/>
      </c>
      <c r="E3" s="224" t="str">
        <f>IF(LENB(□!E3)=0,"",□!E3)</f>
        <v/>
      </c>
      <c r="F3" s="786" t="str">
        <f>IF(LENB(□!F3)=0,"",□!F3)</f>
        <v/>
      </c>
      <c r="G3" s="787"/>
      <c r="H3" s="224" t="str">
        <f>IF(LENB(□!H3)=0,"",□!H3)</f>
        <v/>
      </c>
      <c r="I3" s="225" t="str">
        <f>IF(LENB(□!I3)=0,"",□!I3)</f>
        <v/>
      </c>
    </row>
    <row r="4" spans="1:10" ht="30" hidden="1" customHeight="1" thickBot="1" x14ac:dyDescent="0.2">
      <c r="B4" s="788" t="s">
        <v>262</v>
      </c>
      <c r="C4" s="789"/>
      <c r="D4" s="226" t="str">
        <f>□!D4</f>
        <v/>
      </c>
      <c r="E4" s="226" t="str">
        <f>□!E4</f>
        <v/>
      </c>
      <c r="F4" s="790" t="str">
        <f>□!F4:G4</f>
        <v/>
      </c>
      <c r="G4" s="791"/>
      <c r="H4" s="227" t="str">
        <f>□!H4</f>
        <v/>
      </c>
      <c r="I4" s="228" t="str">
        <f>□!I4</f>
        <v/>
      </c>
    </row>
    <row r="5" spans="1:10" ht="30" hidden="1" customHeight="1" x14ac:dyDescent="0.15">
      <c r="B5" s="710" t="s">
        <v>194</v>
      </c>
      <c r="C5" s="710"/>
      <c r="D5" s="229">
        <f>□!D5</f>
        <v>0</v>
      </c>
      <c r="E5" s="229">
        <f>□!E5</f>
        <v>0</v>
      </c>
      <c r="F5" s="781">
        <f>□!F5:G5</f>
        <v>0</v>
      </c>
      <c r="G5" s="782"/>
      <c r="H5" s="229">
        <f>□!H5</f>
        <v>0</v>
      </c>
      <c r="I5" s="229">
        <f>□!I5</f>
        <v>0</v>
      </c>
      <c r="J5" s="230"/>
    </row>
    <row r="6" spans="1:10" ht="30" hidden="1" customHeight="1" x14ac:dyDescent="0.15">
      <c r="B6" s="715" t="s">
        <v>197</v>
      </c>
      <c r="C6" s="715"/>
      <c r="D6" s="141">
        <f>□!D6</f>
        <v>0</v>
      </c>
      <c r="E6" s="141">
        <f>□!E6</f>
        <v>0</v>
      </c>
      <c r="F6" s="792">
        <f>□!F6:G6</f>
        <v>0</v>
      </c>
      <c r="G6" s="793"/>
      <c r="H6" s="141">
        <f>□!H6</f>
        <v>0</v>
      </c>
      <c r="I6" s="141">
        <f>□!I6</f>
        <v>0</v>
      </c>
    </row>
    <row r="7" spans="1:10" ht="30" hidden="1" customHeight="1" x14ac:dyDescent="0.15">
      <c r="B7" s="720" t="s">
        <v>199</v>
      </c>
      <c r="C7" s="720"/>
      <c r="D7" s="231">
        <f>□!D7</f>
        <v>0</v>
      </c>
      <c r="E7" s="231">
        <f>□!E7</f>
        <v>0</v>
      </c>
      <c r="F7" s="794">
        <f>□!F7:G7</f>
        <v>0</v>
      </c>
      <c r="G7" s="795"/>
      <c r="H7" s="231">
        <f>□!H7</f>
        <v>0</v>
      </c>
      <c r="I7" s="231">
        <f>□!I7</f>
        <v>0</v>
      </c>
    </row>
    <row r="8" spans="1:10" ht="30" hidden="1" customHeight="1" x14ac:dyDescent="0.15">
      <c r="B8" s="715" t="s">
        <v>203</v>
      </c>
      <c r="C8" s="715"/>
      <c r="D8" s="148">
        <f>□!D8</f>
        <v>0</v>
      </c>
      <c r="E8" s="148">
        <f>□!E8</f>
        <v>0</v>
      </c>
      <c r="F8" s="727">
        <f>□!F8:G8</f>
        <v>0</v>
      </c>
      <c r="G8" s="728"/>
      <c r="H8" s="148">
        <f>□!H8</f>
        <v>0</v>
      </c>
      <c r="I8" s="148">
        <f>□!I8</f>
        <v>0</v>
      </c>
    </row>
    <row r="9" spans="1:10" ht="30" hidden="1" customHeight="1" x14ac:dyDescent="0.15">
      <c r="B9" s="720" t="s">
        <v>209</v>
      </c>
      <c r="C9" s="720"/>
      <c r="D9" s="231">
        <f>□!D9</f>
        <v>0</v>
      </c>
      <c r="E9" s="231">
        <f>□!E9</f>
        <v>0</v>
      </c>
      <c r="F9" s="794">
        <f>□!F9:G9</f>
        <v>0</v>
      </c>
      <c r="G9" s="795"/>
      <c r="H9" s="231">
        <f>□!H9</f>
        <v>0</v>
      </c>
      <c r="I9" s="231">
        <f>□!I9</f>
        <v>0</v>
      </c>
    </row>
    <row r="10" spans="1:10" ht="30" hidden="1" customHeight="1" x14ac:dyDescent="0.15">
      <c r="B10" s="720" t="s">
        <v>211</v>
      </c>
      <c r="C10" s="720"/>
      <c r="D10" s="231">
        <f>□!D10</f>
        <v>0</v>
      </c>
      <c r="E10" s="231">
        <f>□!E10</f>
        <v>0</v>
      </c>
      <c r="F10" s="794">
        <f>□!F10:G10</f>
        <v>0</v>
      </c>
      <c r="G10" s="795"/>
      <c r="H10" s="231">
        <f>□!H10</f>
        <v>0</v>
      </c>
      <c r="I10" s="231">
        <f>□!I10</f>
        <v>0</v>
      </c>
    </row>
    <row r="11" spans="1:10" ht="30" hidden="1" customHeight="1" x14ac:dyDescent="0.15">
      <c r="B11" s="715" t="s">
        <v>213</v>
      </c>
      <c r="C11" s="715"/>
      <c r="D11" s="150">
        <f>D6+D8+D9+D10</f>
        <v>0</v>
      </c>
      <c r="E11" s="148">
        <f>E6+E8+E9+E10</f>
        <v>0</v>
      </c>
      <c r="F11" s="727">
        <f>F6+F8+F9+F10</f>
        <v>0</v>
      </c>
      <c r="G11" s="728"/>
      <c r="H11" s="148">
        <f>H6+H8+H9+H10</f>
        <v>0</v>
      </c>
      <c r="I11" s="148">
        <f>I6+I8+I9+I10</f>
        <v>0</v>
      </c>
    </row>
    <row r="12" spans="1:10" ht="30.75" hidden="1" customHeight="1" x14ac:dyDescent="0.15">
      <c r="B12" s="701"/>
      <c r="C12" s="701"/>
      <c r="D12" s="151"/>
      <c r="E12" s="151"/>
      <c r="F12" s="729"/>
      <c r="G12" s="729"/>
      <c r="H12" s="152"/>
      <c r="I12" s="152"/>
    </row>
    <row r="13" spans="1:10" ht="10.5" hidden="1" customHeight="1" x14ac:dyDescent="0.15">
      <c r="B13" s="232"/>
      <c r="C13" s="232"/>
      <c r="D13" s="152"/>
      <c r="E13" s="152"/>
      <c r="F13" s="233"/>
      <c r="G13" s="233"/>
      <c r="H13" s="152"/>
      <c r="I13" s="152"/>
    </row>
    <row r="14" spans="1:10" ht="24" hidden="1" customHeight="1" x14ac:dyDescent="0.15">
      <c r="B14" s="153" t="s">
        <v>216</v>
      </c>
      <c r="C14" s="154"/>
      <c r="D14" s="155">
        <f>□!D14</f>
        <v>66</v>
      </c>
      <c r="E14" s="156" t="s">
        <v>217</v>
      </c>
      <c r="F14" s="736"/>
      <c r="G14" s="736"/>
    </row>
    <row r="15" spans="1:10" ht="32.1" hidden="1" customHeight="1" x14ac:dyDescent="0.15">
      <c r="B15" s="157" t="s">
        <v>223</v>
      </c>
      <c r="C15" s="158">
        <f>□!$C$15</f>
        <v>7.97</v>
      </c>
      <c r="D15" s="159">
        <f>IF(D3&lt;75,IF(D11&lt;430000,0,ROUNDDOWN((D11-430000)*($C$15/100),0)),0)</f>
        <v>0</v>
      </c>
      <c r="E15" s="160">
        <f>IF(E3&lt;75,IF(E11&lt;430000,0,ROUNDDOWN((E11-430000)*($C$15/100),0)),0)</f>
        <v>0</v>
      </c>
      <c r="F15" s="733">
        <f t="shared" ref="F15:G15" si="0">IF(F3&lt;75,IF(F11&lt;430000,0,ROUNDDOWN((F11-430000)*($C$15/100),0)),0)</f>
        <v>0</v>
      </c>
      <c r="G15" s="734">
        <f t="shared" si="0"/>
        <v>0</v>
      </c>
      <c r="H15" s="160">
        <f>IF(H3&lt;75,IF(H11&lt;430000,0,ROUNDDOWN((H11-430000)*($C$15/100),0)),0)</f>
        <v>0</v>
      </c>
      <c r="I15" s="160">
        <f>IF(I3&lt;75,IF(I11&lt;430000,0,ROUNDDOWN((I11-430000)*($C$15/100),0)),0)</f>
        <v>0</v>
      </c>
      <c r="J15" s="269"/>
    </row>
    <row r="16" spans="1:10" ht="32.1" hidden="1" customHeight="1" thickBot="1" x14ac:dyDescent="0.2">
      <c r="B16" s="161" t="s">
        <v>224</v>
      </c>
      <c r="C16" s="162">
        <f>ROUNDDOWN(□!$C$16*((10-$I$2)/10),0)</f>
        <v>14526</v>
      </c>
      <c r="D16" s="234">
        <f>IF(D3="",0,IF(D3&lt;75,IF(D4="未就学児",$C$16/2,$C$16),0))</f>
        <v>0</v>
      </c>
      <c r="E16" s="234">
        <f>IF(E3="",0,IF(E3&lt;75,IF(E4="未就学児",$C$16/2,$C$16),0))</f>
        <v>0</v>
      </c>
      <c r="F16" s="800">
        <f>IF(F3="",0,IF(F3&lt;75,IF(F4="未就学児",$C$16/2,$C$16),0))</f>
        <v>0</v>
      </c>
      <c r="G16" s="801"/>
      <c r="H16" s="234">
        <f>IF(H3="",0,IF(H3&lt;75,IF(H4="未就学児",$C$16/2,$C$16),0))</f>
        <v>0</v>
      </c>
      <c r="I16" s="234">
        <f>IF(I3="",0,IF(I3&lt;75,IF(I4="未就学児",$C$16/2,$C$16),0))</f>
        <v>0</v>
      </c>
      <c r="J16" s="269">
        <f>SUM(D16:I16)</f>
        <v>0</v>
      </c>
    </row>
    <row r="17" spans="2:21" ht="32.1" hidden="1" customHeight="1" thickTop="1" thickBot="1" x14ac:dyDescent="0.2">
      <c r="B17" s="720" t="s">
        <v>225</v>
      </c>
      <c r="C17" s="739"/>
      <c r="D17" s="168">
        <f>IF(ROUNDDOWN(D15+E15+F15+H15+I15+D16+E16+F16+H16+I16,-2)&lt;=660000,ROUNDDOWN(D15+E15+F15+H15+I15+D16+E16+F16+H16+I16,-2),660000)</f>
        <v>0</v>
      </c>
      <c r="E17" s="740" t="s">
        <v>226</v>
      </c>
      <c r="F17" s="741"/>
      <c r="G17" s="169"/>
    </row>
    <row r="18" spans="2:21" ht="10.5" hidden="1" customHeight="1" thickTop="1" x14ac:dyDescent="0.15">
      <c r="B18" s="701"/>
      <c r="C18" s="701"/>
      <c r="D18" s="171"/>
      <c r="E18" s="169"/>
      <c r="F18" s="743"/>
      <c r="G18" s="743"/>
    </row>
    <row r="19" spans="2:21" ht="24" hidden="1" customHeight="1" x14ac:dyDescent="0.15">
      <c r="B19" s="153" t="s">
        <v>227</v>
      </c>
      <c r="C19" s="154"/>
      <c r="D19" s="173"/>
      <c r="E19" s="173">
        <f>□!E19</f>
        <v>26</v>
      </c>
      <c r="F19" s="746" t="s">
        <v>217</v>
      </c>
      <c r="G19" s="746"/>
    </row>
    <row r="20" spans="2:21" ht="32.1" hidden="1" customHeight="1" x14ac:dyDescent="0.15">
      <c r="B20" s="157" t="s">
        <v>223</v>
      </c>
      <c r="C20" s="177">
        <f>□!$C$20</f>
        <v>2.85</v>
      </c>
      <c r="D20" s="159">
        <f>IF(D3&lt;75,IF(D11&lt;430000,0,ROUNDDOWN((D11-430000)*(C20/100),0)),0)</f>
        <v>0</v>
      </c>
      <c r="E20" s="160">
        <f>IF(E3&lt;75,IF(E11&lt;430000,0,ROUNDDOWN((E11-430000)*(C20/100),0)),0)</f>
        <v>0</v>
      </c>
      <c r="F20" s="733">
        <f>IF(F3&lt;75,IF(F11&lt;430000,0,ROUNDDOWN((F11-430000)*(C20/100),0)),0)</f>
        <v>0</v>
      </c>
      <c r="G20" s="734"/>
      <c r="H20" s="160">
        <f>IF(H3&lt;75,IF(H11&lt;430000,0,ROUNDDOWN((H11-430000)*(C20/100),0)),0)</f>
        <v>0</v>
      </c>
      <c r="I20" s="160">
        <f>IF(I3&lt;75,IF(I11&lt;430000,0,ROUNDDOWN((I11-430000)*(C20/100),0)),0)</f>
        <v>0</v>
      </c>
      <c r="J20" s="269"/>
    </row>
    <row r="21" spans="2:21" ht="32.1" hidden="1" customHeight="1" thickBot="1" x14ac:dyDescent="0.2">
      <c r="B21" s="161" t="s">
        <v>224</v>
      </c>
      <c r="C21" s="179">
        <f>ROUNDDOWN(□!$C$21*((10-$I$2)/10),0)</f>
        <v>5160</v>
      </c>
      <c r="D21" s="234">
        <f>IF(D$3="",0,IF(D$3&lt;75,IF(D$4="未就学児",ROUNDDOWN($C$21/2,0),$C$21),0))</f>
        <v>0</v>
      </c>
      <c r="E21" s="234">
        <f>IF(E$3="",0,IF(E$3&lt;75,IF(E$4="未就学児",ROUNDDOWN($C$21/2,0),$C$21),0))</f>
        <v>0</v>
      </c>
      <c r="F21" s="800">
        <f>IF(F$3="",0,IF(F$3&lt;75,IF(F$4="未就学児",ROUNDDOWN($C$21/2,0),$C$21),0))</f>
        <v>0</v>
      </c>
      <c r="G21" s="801"/>
      <c r="H21" s="234">
        <f>IF(H$3="",0,IF(H$3&lt;75,IF(H$4="未就学児",ROUNDDOWN($C$21/2,0),$C$21),0))</f>
        <v>0</v>
      </c>
      <c r="I21" s="234">
        <f>IF(I$3="",0,IF(I$3&lt;75,IF(I$4="未就学児",ROUNDDOWN($C$21/2,0),$C$21),0))</f>
        <v>0</v>
      </c>
      <c r="J21" s="269">
        <f>SUM(D21:I21)</f>
        <v>0</v>
      </c>
    </row>
    <row r="22" spans="2:21" ht="32.1" hidden="1" customHeight="1" thickTop="1" thickBot="1" x14ac:dyDescent="0.2">
      <c r="B22" s="796" t="s">
        <v>235</v>
      </c>
      <c r="C22" s="797"/>
      <c r="D22" s="183">
        <f>IF(ROUNDDOWN(D20+E20+F20+H20+I20+D21+E21+F21+H21+I21,-2)&lt;=260000,ROUNDDOWN(D20+E20+F20+H20+I20+D21+E21+F21+H21+I21,-2),260000)</f>
        <v>0</v>
      </c>
      <c r="E22" s="798" t="s">
        <v>226</v>
      </c>
      <c r="F22" s="799"/>
      <c r="G22" s="235"/>
      <c r="H22" s="236"/>
      <c r="I22" s="236"/>
    </row>
    <row r="23" spans="2:21" ht="10.5" hidden="1" customHeight="1" thickTop="1" x14ac:dyDescent="0.15">
      <c r="B23" s="701"/>
      <c r="C23" s="701"/>
      <c r="D23" s="184"/>
      <c r="E23" s="169"/>
      <c r="F23" s="743"/>
      <c r="G23" s="743"/>
    </row>
    <row r="24" spans="2:21" ht="24" hidden="1" customHeight="1" x14ac:dyDescent="0.15">
      <c r="B24" s="153" t="s">
        <v>236</v>
      </c>
      <c r="C24" s="186"/>
      <c r="D24" s="237">
        <f>□!D24</f>
        <v>17</v>
      </c>
      <c r="E24" s="156" t="s">
        <v>217</v>
      </c>
      <c r="F24" s="187" t="s">
        <v>237</v>
      </c>
      <c r="G24" s="188"/>
      <c r="H24" s="189"/>
      <c r="I24" s="189"/>
    </row>
    <row r="25" spans="2:21" ht="32.1" hidden="1" customHeight="1" x14ac:dyDescent="0.15">
      <c r="B25" s="157" t="s">
        <v>223</v>
      </c>
      <c r="C25" s="177">
        <f>□!$C$25</f>
        <v>2.4700000000000002</v>
      </c>
      <c r="D25" s="159">
        <f>IF(D3&lt;65,IF(40&lt;=D3,IF(430000&lt;=D11,ROUNDDOWN((D11-430000)*(C25/100),0),0),0),0)</f>
        <v>0</v>
      </c>
      <c r="E25" s="160">
        <f>IF(E3&lt;65,IF(40&lt;=E3,IF(430000&lt;=E11,ROUNDDOWN((E11-430000)*(C25/100),0),0),0),0)</f>
        <v>0</v>
      </c>
      <c r="F25" s="733">
        <f>IF(F3&lt;65,IF(40&lt;=F3,IF(430000&lt;=F11,ROUNDDOWN((F11-430000)*(C25/100),0),0),0),0)</f>
        <v>0</v>
      </c>
      <c r="G25" s="734"/>
      <c r="H25" s="160">
        <f>IF(H3&lt;65,IF(40&lt;=H3,IF(430000&lt;=H11,ROUNDDOWN((H11-430000)*(C25/100),0),0),0),0)</f>
        <v>0</v>
      </c>
      <c r="I25" s="160">
        <f>IF(I3&lt;65,IF(40&lt;=I3,IF(430000&lt;=I11,ROUNDDOWN((I11-430000)*(C25/100),0),0),0),0)</f>
        <v>0</v>
      </c>
      <c r="J25" s="269"/>
    </row>
    <row r="26" spans="2:21" ht="32.1" hidden="1" customHeight="1" thickBot="1" x14ac:dyDescent="0.2">
      <c r="B26" s="161" t="s">
        <v>224</v>
      </c>
      <c r="C26" s="162">
        <f>ROUNDDOWN(□!$C$26*((10-$I$2)/10),0)</f>
        <v>5256</v>
      </c>
      <c r="D26" s="234">
        <f>IF(D3&lt;65,IF(40&lt;=D3,$C$26,0),0)</f>
        <v>0</v>
      </c>
      <c r="E26" s="234">
        <f>IF(E3&lt;65,IF(40&lt;=E3,$C$26,0),0)</f>
        <v>0</v>
      </c>
      <c r="F26" s="800">
        <f>IF(F3&lt;65,IF(40&lt;=F3,$C$26,0),0)</f>
        <v>0</v>
      </c>
      <c r="G26" s="802"/>
      <c r="H26" s="238">
        <f>IF(H3&lt;65,IF(40&lt;=H3,$C$26,0),0)</f>
        <v>0</v>
      </c>
      <c r="I26" s="238">
        <f>IF(I3&lt;65,IF(40&lt;=I3,$C$26,0),0)</f>
        <v>0</v>
      </c>
      <c r="J26" s="269">
        <f>SUM(D26:I26)</f>
        <v>0</v>
      </c>
    </row>
    <row r="27" spans="2:21" ht="32.1" hidden="1" customHeight="1" thickTop="1" thickBot="1" x14ac:dyDescent="0.2">
      <c r="B27" s="758" t="s">
        <v>239</v>
      </c>
      <c r="C27" s="759"/>
      <c r="D27" s="183">
        <f>IF(ROUNDDOWN(D25+E25+F25+H25+I25+D26+E26+F26+H26+I26,-2)&lt;=170000,ROUNDDOWN(D25+E25+F25+H25+I25+D26+E26+F26+H26+I26,-2),170000)</f>
        <v>0</v>
      </c>
      <c r="E27" s="798" t="s">
        <v>226</v>
      </c>
      <c r="F27" s="799"/>
      <c r="G27" s="235"/>
      <c r="H27" s="236"/>
      <c r="I27" s="236"/>
    </row>
    <row r="28" spans="2:21" ht="10.5" hidden="1" customHeight="1" thickTop="1" x14ac:dyDescent="0.15">
      <c r="B28" s="701"/>
      <c r="C28" s="701"/>
      <c r="D28" s="184"/>
      <c r="E28" s="169"/>
      <c r="F28" s="743"/>
      <c r="G28" s="743"/>
    </row>
    <row r="29" spans="2:21" ht="24" hidden="1" customHeight="1" x14ac:dyDescent="0.15">
      <c r="B29" s="153" t="s">
        <v>240</v>
      </c>
      <c r="C29" s="186"/>
      <c r="D29" s="237">
        <f>□!D29</f>
        <v>3</v>
      </c>
      <c r="E29" s="156" t="s">
        <v>217</v>
      </c>
      <c r="F29" s="187" t="s">
        <v>237</v>
      </c>
      <c r="G29" s="188"/>
      <c r="H29" s="189"/>
      <c r="I29" s="189"/>
    </row>
    <row r="30" spans="2:21" ht="32.1" hidden="1" customHeight="1" x14ac:dyDescent="0.15">
      <c r="B30" s="157" t="s">
        <v>223</v>
      </c>
      <c r="C30" s="177">
        <v>0.26</v>
      </c>
      <c r="D30" s="159">
        <f>IF(D3&lt;75,IF(D11&lt;430000,0,ROUNDDOWN((D11-430000)*($C$30/100),0)),0)</f>
        <v>0</v>
      </c>
      <c r="E30" s="160">
        <f>IF(E3&lt;75,IF(E11&lt;430000,0,ROUNDDOWN((E11-430000)*($C$30/100),0)),0)</f>
        <v>0</v>
      </c>
      <c r="F30" s="733">
        <f t="shared" ref="F30:I30" si="1">IF(F3&lt;75,IF(F11&lt;430000,0,ROUNDDOWN((F11-430000)*($C$30/100),0)),0)</f>
        <v>0</v>
      </c>
      <c r="G30" s="734">
        <f t="shared" si="1"/>
        <v>0</v>
      </c>
      <c r="H30" s="160">
        <f t="shared" si="1"/>
        <v>0</v>
      </c>
      <c r="I30" s="160">
        <f t="shared" si="1"/>
        <v>0</v>
      </c>
      <c r="J30" s="269"/>
    </row>
    <row r="31" spans="2:21" ht="32.1" hidden="1" customHeight="1" x14ac:dyDescent="0.15">
      <c r="B31" s="161" t="s">
        <v>224</v>
      </c>
      <c r="C31" s="162">
        <f>ROUNDDOWN(□!$C$31*((10-$I$2)/10),0)</f>
        <v>477</v>
      </c>
      <c r="D31" s="160">
        <f>IF(D3="",0,IF(D3&lt;75,IF(D3&lt;18,0,$C$31),0))</f>
        <v>0</v>
      </c>
      <c r="E31" s="234">
        <f t="shared" ref="E31:I31" si="2">IF(E3="",0,IF(E3&lt;75,IF(E3&lt;18,0,$C$31),0))</f>
        <v>0</v>
      </c>
      <c r="F31" s="800">
        <f t="shared" si="2"/>
        <v>0</v>
      </c>
      <c r="G31" s="802">
        <f t="shared" si="2"/>
        <v>0</v>
      </c>
      <c r="H31" s="238">
        <f t="shared" si="2"/>
        <v>0</v>
      </c>
      <c r="I31" s="238">
        <f t="shared" si="2"/>
        <v>0</v>
      </c>
      <c r="J31" s="269">
        <f>SUM(D31:I31)</f>
        <v>0</v>
      </c>
    </row>
    <row r="32" spans="2:21" ht="31.5" hidden="1" customHeight="1" thickBot="1" x14ac:dyDescent="0.2">
      <c r="B32" s="157" t="s">
        <v>242</v>
      </c>
      <c r="C32" s="162">
        <f>ROUNDDOWN(□!$C$32*((10-$I$2)/10),0)</f>
        <v>33</v>
      </c>
      <c r="D32" s="160">
        <f>IF(D3="",0,IF(D3&lt;18,0,$C$32))</f>
        <v>0</v>
      </c>
      <c r="E32" s="160">
        <f t="shared" ref="E32:I32" si="3">IF(E3="",0,IF(E3&lt;18,0,$C$32))</f>
        <v>0</v>
      </c>
      <c r="F32" s="733">
        <f t="shared" si="3"/>
        <v>0</v>
      </c>
      <c r="G32" s="734">
        <f t="shared" si="3"/>
        <v>0</v>
      </c>
      <c r="H32" s="160">
        <f t="shared" si="3"/>
        <v>0</v>
      </c>
      <c r="I32" s="160">
        <f t="shared" si="3"/>
        <v>0</v>
      </c>
      <c r="J32" s="269">
        <f>SUM(D32:I32)</f>
        <v>0</v>
      </c>
      <c r="K32" s="125"/>
      <c r="L32" s="126"/>
      <c r="M32" s="126"/>
      <c r="N32" s="126"/>
      <c r="O32" s="126"/>
      <c r="P32" s="126"/>
      <c r="Q32" s="126"/>
      <c r="R32" s="126"/>
      <c r="S32" s="126"/>
      <c r="T32" s="126"/>
      <c r="U32" s="126"/>
    </row>
    <row r="33" spans="2:16" ht="32.1" hidden="1" customHeight="1" thickTop="1" thickBot="1" x14ac:dyDescent="0.2">
      <c r="B33" s="758" t="s">
        <v>243</v>
      </c>
      <c r="C33" s="759"/>
      <c r="D33" s="183">
        <f>IF(ROUNDDOWN(D30+E30+F30+H30+I30+D31+E31+F31+H31+I31,-2)&lt;=170000,ROUNDDOWN(D30+E30+F30+H30+I30+D31+E31+F31+H31+I31,-2),170000)</f>
        <v>0</v>
      </c>
      <c r="E33" s="798" t="s">
        <v>226</v>
      </c>
      <c r="F33" s="799"/>
      <c r="G33" s="235"/>
      <c r="H33" s="236"/>
      <c r="I33" s="236"/>
      <c r="J33" s="269">
        <f>SUM(J31:J32)</f>
        <v>0</v>
      </c>
    </row>
    <row r="34" spans="2:16" ht="20.100000000000001" hidden="1" customHeight="1" thickTop="1" thickBot="1" x14ac:dyDescent="0.2">
      <c r="B34" s="760"/>
      <c r="C34" s="760"/>
      <c r="D34" s="193"/>
      <c r="E34" s="169"/>
      <c r="F34" s="761"/>
      <c r="G34" s="761"/>
    </row>
    <row r="35" spans="2:16" ht="36" hidden="1" customHeight="1" thickTop="1" thickBot="1" x14ac:dyDescent="0.2">
      <c r="B35" s="755" t="s">
        <v>244</v>
      </c>
      <c r="C35" s="756"/>
      <c r="D35" s="194">
        <f>D17+D22+D27+D33</f>
        <v>0</v>
      </c>
      <c r="E35" s="195" t="s">
        <v>245</v>
      </c>
      <c r="F35" s="733">
        <f>ROUNDDOWN(D35/12,0)</f>
        <v>0</v>
      </c>
      <c r="G35" s="734"/>
    </row>
    <row r="36" spans="2:16" ht="16.5" hidden="1" customHeight="1" thickTop="1" thickBot="1" x14ac:dyDescent="0.2">
      <c r="B36" s="701"/>
      <c r="C36" s="701"/>
      <c r="D36" s="196"/>
      <c r="E36" s="239"/>
      <c r="F36" s="773"/>
      <c r="G36" s="773"/>
    </row>
    <row r="37" spans="2:16" ht="24" hidden="1" customHeight="1" thickBot="1" x14ac:dyDescent="0.2">
      <c r="B37" s="774" t="s">
        <v>249</v>
      </c>
      <c r="C37" s="775"/>
      <c r="D37" s="198" t="s">
        <v>250</v>
      </c>
      <c r="E37" s="199" t="s">
        <v>263</v>
      </c>
      <c r="F37" s="778" t="s">
        <v>251</v>
      </c>
      <c r="G37" s="779"/>
      <c r="H37" s="779"/>
      <c r="I37" s="779"/>
    </row>
    <row r="38" spans="2:16" ht="27.2" hidden="1" customHeight="1" thickTop="1" thickBot="1" x14ac:dyDescent="0.2">
      <c r="B38" s="776"/>
      <c r="C38" s="777"/>
      <c r="D38" s="240">
        <f>□!D38</f>
        <v>12</v>
      </c>
      <c r="E38" s="203">
        <f>ROUNDDOWN((D35*D38/12),-2)</f>
        <v>0</v>
      </c>
      <c r="G38" s="241">
        <f>□!G38</f>
        <v>4</v>
      </c>
      <c r="H38" s="763" t="s">
        <v>252</v>
      </c>
      <c r="I38" s="764"/>
    </row>
    <row r="39" spans="2:16" ht="24" hidden="1" customHeight="1" x14ac:dyDescent="0.15">
      <c r="B39" s="765" t="s">
        <v>253</v>
      </c>
      <c r="C39" s="766"/>
      <c r="D39" s="206" t="s">
        <v>254</v>
      </c>
      <c r="E39" s="207"/>
      <c r="G39" s="208">
        <f>D38</f>
        <v>12</v>
      </c>
      <c r="H39" s="209" t="s">
        <v>255</v>
      </c>
      <c r="I39" s="210"/>
    </row>
    <row r="40" spans="2:16" ht="27.2" hidden="1" customHeight="1" thickBot="1" x14ac:dyDescent="0.2">
      <c r="B40" s="767"/>
      <c r="C40" s="768"/>
      <c r="D40" s="242">
        <f>□!D40</f>
        <v>8</v>
      </c>
      <c r="E40" s="207"/>
      <c r="G40" s="208">
        <f>D40</f>
        <v>8</v>
      </c>
      <c r="H40" s="212" t="s">
        <v>256</v>
      </c>
      <c r="I40" s="213"/>
    </row>
    <row r="41" spans="2:16" ht="24" hidden="1" customHeight="1" thickTop="1" x14ac:dyDescent="0.2">
      <c r="B41" s="214"/>
      <c r="C41" s="214"/>
      <c r="D41" s="215" t="s">
        <v>257</v>
      </c>
      <c r="E41" s="215" t="s">
        <v>258</v>
      </c>
      <c r="G41" s="243">
        <f>□!G41</f>
        <v>7</v>
      </c>
      <c r="H41" s="769" t="s">
        <v>259</v>
      </c>
      <c r="I41" s="770"/>
    </row>
    <row r="42" spans="2:16" ht="24" hidden="1" customHeight="1" thickBot="1" x14ac:dyDescent="0.2">
      <c r="B42" s="214"/>
      <c r="C42" s="214"/>
      <c r="D42" s="217">
        <f>IF(D40="","",IF(D40=1,E38,IF(D40&lt;9,IF(D40&gt;1,E38-((D40-1)*E42),""),"")))</f>
        <v>0</v>
      </c>
      <c r="E42" s="217">
        <f>IF(D40="","",IF(D40&lt;9,IF(D40&gt;1,ROUNDDOWN(E38/D40,-2),""),""))</f>
        <v>0</v>
      </c>
      <c r="G42" s="218"/>
      <c r="H42" s="771"/>
      <c r="I42" s="772"/>
    </row>
    <row r="43" spans="2:16" ht="15" hidden="1" thickTop="1" x14ac:dyDescent="0.15">
      <c r="K43" s="125"/>
      <c r="L43" s="126"/>
      <c r="M43" s="126"/>
      <c r="N43" s="126"/>
      <c r="O43" s="125"/>
      <c r="P43" s="125"/>
    </row>
    <row r="44" spans="2:16" ht="13.5" hidden="1" customHeight="1" x14ac:dyDescent="0.15"/>
    <row r="45" spans="2:16" ht="13.5" customHeight="1" x14ac:dyDescent="0.15"/>
  </sheetData>
  <sheetProtection algorithmName="SHA-512" hashValue="HWGyruNr4f2CeJee1SbJ6xDHsLzQnQ6YsLNLaf+EBgJehcRE3zxphBb+c+CYC7JNYxyFHzBd1zt/YkUqgy3Pdg==" saltValue="RIr9ikGM92kT2lWjJIkSmw==" spinCount="100000" sheet="1" objects="1" scenarios="1" selectLockedCells="1" selectUnlockedCells="1"/>
  <mergeCells count="57">
    <mergeCell ref="B37:C38"/>
    <mergeCell ref="F37:I37"/>
    <mergeCell ref="H38:I38"/>
    <mergeCell ref="B39:C40"/>
    <mergeCell ref="H41:I42"/>
    <mergeCell ref="B34:C34"/>
    <mergeCell ref="F34:G34"/>
    <mergeCell ref="B35:C35"/>
    <mergeCell ref="F35:G35"/>
    <mergeCell ref="B36:C36"/>
    <mergeCell ref="F36:G36"/>
    <mergeCell ref="B33:C33"/>
    <mergeCell ref="E33:F33"/>
    <mergeCell ref="B23:C23"/>
    <mergeCell ref="F23:G23"/>
    <mergeCell ref="F25:G25"/>
    <mergeCell ref="F26:G26"/>
    <mergeCell ref="B27:C27"/>
    <mergeCell ref="E27:F27"/>
    <mergeCell ref="B28:C28"/>
    <mergeCell ref="F28:G28"/>
    <mergeCell ref="F30:G30"/>
    <mergeCell ref="F31:G31"/>
    <mergeCell ref="F32:G32"/>
    <mergeCell ref="B22:C22"/>
    <mergeCell ref="E22:F22"/>
    <mergeCell ref="B12:C12"/>
    <mergeCell ref="F12:G12"/>
    <mergeCell ref="F14:G14"/>
    <mergeCell ref="F15:G15"/>
    <mergeCell ref="F16:G16"/>
    <mergeCell ref="B17:C17"/>
    <mergeCell ref="E17:F17"/>
    <mergeCell ref="B18:C18"/>
    <mergeCell ref="F18:G18"/>
    <mergeCell ref="F19:G19"/>
    <mergeCell ref="F20:G20"/>
    <mergeCell ref="F21:G21"/>
    <mergeCell ref="B9:C9"/>
    <mergeCell ref="F9:G9"/>
    <mergeCell ref="B10:C10"/>
    <mergeCell ref="F10:G10"/>
    <mergeCell ref="B11:C11"/>
    <mergeCell ref="F11:G11"/>
    <mergeCell ref="B6:C6"/>
    <mergeCell ref="F6:G6"/>
    <mergeCell ref="B7:C7"/>
    <mergeCell ref="F7:G7"/>
    <mergeCell ref="B8:C8"/>
    <mergeCell ref="F8:G8"/>
    <mergeCell ref="B5:C5"/>
    <mergeCell ref="F5:G5"/>
    <mergeCell ref="F1:G1"/>
    <mergeCell ref="C2:D2"/>
    <mergeCell ref="F3:G3"/>
    <mergeCell ref="B4:C4"/>
    <mergeCell ref="F4:G4"/>
  </mergeCells>
  <phoneticPr fontId="1"/>
  <pageMargins left="0.62992125984251968" right="0.21" top="0.70866141732283472" bottom="0.35433070866141736" header="0.47244094488188981" footer="0.31496062992125984"/>
  <pageSetup paperSize="9" scale="8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F723E-8006-4EE1-B8FD-B6B1FC5DA2FE}">
  <dimension ref="B1:U48"/>
  <sheetViews>
    <sheetView topLeftCell="A45" zoomScale="60" zoomScaleNormal="60" workbookViewId="0">
      <selection sqref="A1:XFD44"/>
    </sheetView>
  </sheetViews>
  <sheetFormatPr defaultColWidth="9" defaultRowHeight="13.5" x14ac:dyDescent="0.15"/>
  <cols>
    <col min="1" max="1" width="3.375" style="124" customWidth="1"/>
    <col min="2" max="3" width="16.625" style="124" customWidth="1"/>
    <col min="4" max="5" width="15.625" style="124" customWidth="1"/>
    <col min="6" max="6" width="10.125" style="124" customWidth="1"/>
    <col min="7" max="7" width="6.25" style="124" customWidth="1"/>
    <col min="8" max="9" width="15.625" style="124" customWidth="1"/>
    <col min="10" max="16384" width="9" style="124"/>
  </cols>
  <sheetData>
    <row r="1" spans="2:10" ht="11.25" hidden="1" customHeight="1" thickBot="1" x14ac:dyDescent="0.2">
      <c r="F1" s="783"/>
      <c r="G1" s="783"/>
    </row>
    <row r="2" spans="2:10" ht="29.25" hidden="1" customHeight="1" thickTop="1" x14ac:dyDescent="0.15">
      <c r="B2" s="219">
        <f>□!B2</f>
        <v>8</v>
      </c>
      <c r="C2" s="784" t="str">
        <f>□!C2:D2</f>
        <v>年齢はＲ8年１月１日現在</v>
      </c>
      <c r="D2" s="785"/>
      <c r="E2" s="220"/>
      <c r="F2" s="220"/>
      <c r="G2" s="220"/>
      <c r="H2" s="221" t="s">
        <v>261</v>
      </c>
      <c r="I2" s="244">
        <v>5</v>
      </c>
      <c r="J2" s="166"/>
    </row>
    <row r="3" spans="2:10" ht="30" hidden="1" customHeight="1" thickBot="1" x14ac:dyDescent="0.2">
      <c r="B3" s="223" t="s">
        <v>190</v>
      </c>
      <c r="C3" s="131" t="s">
        <v>191</v>
      </c>
      <c r="D3" s="224" t="str">
        <f>IF(LENB(□!D3)=0,"",□!D3)</f>
        <v/>
      </c>
      <c r="E3" s="224" t="str">
        <f>IF(LENB(□!E3)=0,"",□!E3)</f>
        <v/>
      </c>
      <c r="F3" s="786" t="str">
        <f>IF(LENB(□!F3)=0,"",□!F3)</f>
        <v/>
      </c>
      <c r="G3" s="787"/>
      <c r="H3" s="224" t="str">
        <f>IF(LENB(□!H3)=0,"",□!H3)</f>
        <v/>
      </c>
      <c r="I3" s="225" t="str">
        <f>IF(LENB(□!I3)=0,"",□!I3)</f>
        <v/>
      </c>
    </row>
    <row r="4" spans="2:10" ht="30" hidden="1" customHeight="1" thickBot="1" x14ac:dyDescent="0.2">
      <c r="B4" s="788" t="s">
        <v>262</v>
      </c>
      <c r="C4" s="789"/>
      <c r="D4" s="245" t="str">
        <f>□!D4</f>
        <v/>
      </c>
      <c r="E4" s="245" t="str">
        <f>□!E4</f>
        <v/>
      </c>
      <c r="F4" s="803" t="str">
        <f>□!F4:G4</f>
        <v/>
      </c>
      <c r="G4" s="803"/>
      <c r="H4" s="246" t="str">
        <f>□!H4</f>
        <v/>
      </c>
      <c r="I4" s="247" t="str">
        <f>□!I4</f>
        <v/>
      </c>
    </row>
    <row r="5" spans="2:10" ht="30" hidden="1" customHeight="1" x14ac:dyDescent="0.15">
      <c r="B5" s="710" t="s">
        <v>194</v>
      </c>
      <c r="C5" s="710"/>
      <c r="D5" s="229">
        <f>□!D5</f>
        <v>0</v>
      </c>
      <c r="E5" s="229">
        <f>□!E5</f>
        <v>0</v>
      </c>
      <c r="F5" s="781">
        <f>□!F5:G5</f>
        <v>0</v>
      </c>
      <c r="G5" s="782"/>
      <c r="H5" s="229">
        <f>□!H5</f>
        <v>0</v>
      </c>
      <c r="I5" s="229">
        <f>□!I5</f>
        <v>0</v>
      </c>
      <c r="J5" s="230"/>
    </row>
    <row r="6" spans="2:10" ht="30" hidden="1" customHeight="1" x14ac:dyDescent="0.15">
      <c r="B6" s="715" t="s">
        <v>197</v>
      </c>
      <c r="C6" s="715"/>
      <c r="D6" s="141">
        <f>□!D6</f>
        <v>0</v>
      </c>
      <c r="E6" s="141">
        <f>□!E6</f>
        <v>0</v>
      </c>
      <c r="F6" s="792">
        <f>□!F6:G6</f>
        <v>0</v>
      </c>
      <c r="G6" s="793"/>
      <c r="H6" s="141">
        <f>□!H6</f>
        <v>0</v>
      </c>
      <c r="I6" s="141">
        <f>□!I6</f>
        <v>0</v>
      </c>
    </row>
    <row r="7" spans="2:10" ht="30" hidden="1" customHeight="1" x14ac:dyDescent="0.15">
      <c r="B7" s="720" t="s">
        <v>199</v>
      </c>
      <c r="C7" s="720"/>
      <c r="D7" s="231">
        <f>□!D7</f>
        <v>0</v>
      </c>
      <c r="E7" s="231">
        <f>□!E7</f>
        <v>0</v>
      </c>
      <c r="F7" s="794">
        <f>□!F7:G7</f>
        <v>0</v>
      </c>
      <c r="G7" s="795"/>
      <c r="H7" s="231">
        <f>□!H7</f>
        <v>0</v>
      </c>
      <c r="I7" s="231">
        <f>□!I7</f>
        <v>0</v>
      </c>
    </row>
    <row r="8" spans="2:10" ht="30" hidden="1" customHeight="1" x14ac:dyDescent="0.15">
      <c r="B8" s="715" t="s">
        <v>203</v>
      </c>
      <c r="C8" s="715"/>
      <c r="D8" s="148">
        <f>□!D8</f>
        <v>0</v>
      </c>
      <c r="E8" s="148">
        <f>□!E8</f>
        <v>0</v>
      </c>
      <c r="F8" s="727">
        <f>□!F8:G8</f>
        <v>0</v>
      </c>
      <c r="G8" s="728"/>
      <c r="H8" s="148">
        <f>□!H8</f>
        <v>0</v>
      </c>
      <c r="I8" s="148">
        <f>□!I8</f>
        <v>0</v>
      </c>
    </row>
    <row r="9" spans="2:10" ht="30" hidden="1" customHeight="1" x14ac:dyDescent="0.15">
      <c r="B9" s="720" t="s">
        <v>209</v>
      </c>
      <c r="C9" s="720"/>
      <c r="D9" s="231">
        <f>□!D9</f>
        <v>0</v>
      </c>
      <c r="E9" s="231">
        <f>□!E9</f>
        <v>0</v>
      </c>
      <c r="F9" s="794">
        <f>□!F9:G9</f>
        <v>0</v>
      </c>
      <c r="G9" s="795"/>
      <c r="H9" s="231">
        <f>□!H9</f>
        <v>0</v>
      </c>
      <c r="I9" s="231">
        <f>□!I9</f>
        <v>0</v>
      </c>
    </row>
    <row r="10" spans="2:10" ht="30" hidden="1" customHeight="1" x14ac:dyDescent="0.15">
      <c r="B10" s="720" t="s">
        <v>211</v>
      </c>
      <c r="C10" s="720"/>
      <c r="D10" s="231">
        <f>□!D10</f>
        <v>0</v>
      </c>
      <c r="E10" s="231">
        <f>□!E10</f>
        <v>0</v>
      </c>
      <c r="F10" s="794">
        <f>□!F10:G10</f>
        <v>0</v>
      </c>
      <c r="G10" s="795"/>
      <c r="H10" s="231">
        <f>□!H10</f>
        <v>0</v>
      </c>
      <c r="I10" s="231">
        <f>□!I10</f>
        <v>0</v>
      </c>
    </row>
    <row r="11" spans="2:10" ht="30" hidden="1" customHeight="1" x14ac:dyDescent="0.15">
      <c r="B11" s="715" t="s">
        <v>213</v>
      </c>
      <c r="C11" s="715"/>
      <c r="D11" s="150">
        <f>D6+D8+D9+D10</f>
        <v>0</v>
      </c>
      <c r="E11" s="148">
        <f>E6+E8+E9+E10</f>
        <v>0</v>
      </c>
      <c r="F11" s="727">
        <f>F6+F8+F9+F10</f>
        <v>0</v>
      </c>
      <c r="G11" s="728"/>
      <c r="H11" s="148">
        <f>H6+H8+H9+H10</f>
        <v>0</v>
      </c>
      <c r="I11" s="148">
        <f>I6+I8+I9+I10</f>
        <v>0</v>
      </c>
    </row>
    <row r="12" spans="2:10" ht="30.75" hidden="1" customHeight="1" x14ac:dyDescent="0.15">
      <c r="B12" s="701"/>
      <c r="C12" s="701"/>
      <c r="D12" s="151"/>
      <c r="E12" s="151"/>
      <c r="F12" s="729"/>
      <c r="G12" s="729"/>
      <c r="H12" s="152"/>
      <c r="I12" s="152"/>
    </row>
    <row r="13" spans="2:10" ht="10.5" hidden="1" customHeight="1" x14ac:dyDescent="0.15">
      <c r="B13" s="232"/>
      <c r="C13" s="232"/>
      <c r="D13" s="152"/>
      <c r="E13" s="152"/>
      <c r="F13" s="233"/>
      <c r="G13" s="233"/>
      <c r="H13" s="152"/>
      <c r="I13" s="152"/>
    </row>
    <row r="14" spans="2:10" ht="24" hidden="1" customHeight="1" x14ac:dyDescent="0.15">
      <c r="B14" s="153" t="s">
        <v>216</v>
      </c>
      <c r="C14" s="154"/>
      <c r="D14" s="155">
        <f>□!D14</f>
        <v>66</v>
      </c>
      <c r="E14" s="156" t="s">
        <v>217</v>
      </c>
      <c r="F14" s="736"/>
      <c r="G14" s="736"/>
    </row>
    <row r="15" spans="2:10" ht="32.1" hidden="1" customHeight="1" x14ac:dyDescent="0.15">
      <c r="B15" s="157" t="s">
        <v>223</v>
      </c>
      <c r="C15" s="158">
        <f>□!$C$15</f>
        <v>7.97</v>
      </c>
      <c r="D15" s="159">
        <f>IF(D3&lt;75,IF(D11&lt;430000,0,ROUNDDOWN((D11-430000)*(C15/100),0)),0)</f>
        <v>0</v>
      </c>
      <c r="E15" s="160">
        <f>IF(E3&lt;75,IF(E11&lt;430000,0,ROUNDDOWN((E11-430000)*(C15/100),0)),0)</f>
        <v>0</v>
      </c>
      <c r="F15" s="733">
        <f>IF(F3&lt;75,IF(F11&lt;430000,0,ROUNDDOWN((F11-430000)*(C15/100),0)),0)</f>
        <v>0</v>
      </c>
      <c r="G15" s="734"/>
      <c r="H15" s="160">
        <f>IF(H3&lt;75,IF(H11&lt;430000,0,ROUNDDOWN((H11-430000)*(C15/100),0)),0)</f>
        <v>0</v>
      </c>
      <c r="I15" s="160">
        <f>IF(I3&lt;75,IF(I11&lt;430000,0,ROUNDDOWN((I11-430000)*(C15/100),0)),0)</f>
        <v>0</v>
      </c>
      <c r="J15" s="269"/>
    </row>
    <row r="16" spans="2:10" ht="32.1" hidden="1" customHeight="1" thickBot="1" x14ac:dyDescent="0.2">
      <c r="B16" s="161" t="s">
        <v>224</v>
      </c>
      <c r="C16" s="162">
        <f>ROUNDDOWN(□!$C$16*((10-$I$2)/10),0)</f>
        <v>24210</v>
      </c>
      <c r="D16" s="234">
        <f>IF(D3="",0,IF(D3&lt;75,IF(D3&lt;75,IF(D4="未就学児",$C$16/2,$C$16),0)))</f>
        <v>0</v>
      </c>
      <c r="E16" s="234">
        <f>IF(E3="",0,IF(E3&lt;75,IF(E3&lt;75,IF(E4="未就学児",$C$16/2,$C$16),0)))</f>
        <v>0</v>
      </c>
      <c r="F16" s="800">
        <f>IF(F3="",0,IF(F3&lt;75,IF(F3&lt;75,IF(F4="未就学児",$C$16/2,$C$16),0)))</f>
        <v>0</v>
      </c>
      <c r="G16" s="801"/>
      <c r="H16" s="234">
        <f>IF(H3="",0,IF(H3&lt;75,IF(H3&lt;75,IF(H4="未就学児",$C$16/2,$C$16),0)))</f>
        <v>0</v>
      </c>
      <c r="I16" s="234">
        <f>IF(I3="",0,IF(I3&lt;75,IF(I3&lt;75,IF(I4="未就学児",$C$16/2,$C$16),0)))</f>
        <v>0</v>
      </c>
      <c r="J16" s="269">
        <f>SUM(D16:I16)</f>
        <v>0</v>
      </c>
    </row>
    <row r="17" spans="2:21" ht="32.1" hidden="1" customHeight="1" thickTop="1" thickBot="1" x14ac:dyDescent="0.2">
      <c r="B17" s="720" t="s">
        <v>225</v>
      </c>
      <c r="C17" s="739"/>
      <c r="D17" s="168">
        <f>IF(ROUNDDOWN(D15+E15+F15+H15+I15+D16+E16+F16+H16+I16,-2)&lt;=660000,ROUNDDOWN(D15+E15+F15+H15+I15+D16+E16+F16+H16+I16,-2),660000)</f>
        <v>0</v>
      </c>
      <c r="E17" s="740" t="s">
        <v>226</v>
      </c>
      <c r="F17" s="741"/>
      <c r="G17" s="169"/>
    </row>
    <row r="18" spans="2:21" ht="10.5" hidden="1" customHeight="1" thickTop="1" x14ac:dyDescent="0.15">
      <c r="B18" s="701"/>
      <c r="C18" s="701"/>
      <c r="D18" s="171"/>
      <c r="E18" s="169"/>
      <c r="F18" s="743"/>
      <c r="G18" s="743"/>
    </row>
    <row r="19" spans="2:21" ht="24" hidden="1" customHeight="1" x14ac:dyDescent="0.15">
      <c r="B19" s="153" t="s">
        <v>227</v>
      </c>
      <c r="C19" s="154"/>
      <c r="D19" s="173"/>
      <c r="E19" s="173">
        <f>□!E19</f>
        <v>26</v>
      </c>
      <c r="F19" s="746" t="s">
        <v>217</v>
      </c>
      <c r="G19" s="746"/>
    </row>
    <row r="20" spans="2:21" ht="32.1" hidden="1" customHeight="1" x14ac:dyDescent="0.15">
      <c r="B20" s="157" t="s">
        <v>223</v>
      </c>
      <c r="C20" s="177">
        <f>□!$C$20</f>
        <v>2.85</v>
      </c>
      <c r="D20" s="159">
        <f>IF(D3&lt;75,IF(D11&lt;430000,0,ROUNDDOWN((D11-430000)*(C20/100),0)),0)</f>
        <v>0</v>
      </c>
      <c r="E20" s="160">
        <f>IF(E3&lt;75,IF(E11&lt;430000,0,ROUNDDOWN((E11-430000)*(C20/100),0)),0)</f>
        <v>0</v>
      </c>
      <c r="F20" s="733">
        <f>IF(F3&lt;75,IF(F11&lt;430000,0,ROUNDDOWN((F11-430000)*(C20/100),0)),0)</f>
        <v>0</v>
      </c>
      <c r="G20" s="734"/>
      <c r="H20" s="160">
        <f>IF(H3&lt;75,IF(H11&lt;430000,0,ROUNDDOWN((H11-430000)*(C20/100),0)),0)</f>
        <v>0</v>
      </c>
      <c r="I20" s="160">
        <f>IF(I3&lt;75,IF(I11&lt;430000,0,ROUNDDOWN((I11-430000)*(C20/100),0)),0)</f>
        <v>0</v>
      </c>
      <c r="J20" s="269"/>
    </row>
    <row r="21" spans="2:21" ht="32.1" hidden="1" customHeight="1" thickBot="1" x14ac:dyDescent="0.2">
      <c r="B21" s="161" t="s">
        <v>224</v>
      </c>
      <c r="C21" s="179">
        <f>ROUNDDOWN(□!$C$21*((10-$I$2)/10),0)</f>
        <v>8601</v>
      </c>
      <c r="D21" s="234">
        <f>IF(D$3="",0,IF(D$3&lt;75,IF(D$4="未就学児",ROUNDDOWN($C$21/2,0),$C$21),0))</f>
        <v>0</v>
      </c>
      <c r="E21" s="234">
        <f>IF(E$3="",0,IF(E$3&lt;75,IF(E$4="未就学児",ROUNDDOWN($C$21/2,0),$C$21),0))</f>
        <v>0</v>
      </c>
      <c r="F21" s="800">
        <f>IF(F$3="",0,IF(F$3&lt;75,IF(F$4="未就学児",ROUNDDOWN($C$21/2,0),$C$21),0))</f>
        <v>0</v>
      </c>
      <c r="G21" s="801"/>
      <c r="H21" s="234">
        <f>IF(H$3="",0,IF(H$3&lt;75,IF(H$4="未就学児",ROUNDDOWN($C$21/2,0),$C$21),0))</f>
        <v>0</v>
      </c>
      <c r="I21" s="234">
        <f>IF(I$3="",0,IF(I$3&lt;75,IF(I$4="未就学児",ROUNDDOWN($C$21/2,0),$C$21),0))</f>
        <v>0</v>
      </c>
      <c r="J21" s="269">
        <f>SUM(D21:I21)</f>
        <v>0</v>
      </c>
    </row>
    <row r="22" spans="2:21" ht="32.1" hidden="1" customHeight="1" thickTop="1" thickBot="1" x14ac:dyDescent="0.2">
      <c r="B22" s="796" t="s">
        <v>235</v>
      </c>
      <c r="C22" s="797"/>
      <c r="D22" s="183">
        <f>IF(ROUNDDOWN(D20+E20+F20+H20+I20+D21+E21+F21+H21+I21,-2)&lt;=260000,ROUNDDOWN(D20+E20+F20+H20+I20+D21+E21+F21+H21+I21,-2),260000)</f>
        <v>0</v>
      </c>
      <c r="E22" s="798" t="s">
        <v>226</v>
      </c>
      <c r="F22" s="799"/>
      <c r="G22" s="235"/>
      <c r="H22" s="236"/>
      <c r="I22" s="236"/>
    </row>
    <row r="23" spans="2:21" ht="10.5" hidden="1" customHeight="1" thickTop="1" x14ac:dyDescent="0.15">
      <c r="B23" s="701"/>
      <c r="C23" s="701"/>
      <c r="D23" s="184"/>
      <c r="E23" s="169"/>
      <c r="F23" s="743"/>
      <c r="G23" s="743"/>
    </row>
    <row r="24" spans="2:21" ht="24" hidden="1" customHeight="1" x14ac:dyDescent="0.15">
      <c r="B24" s="153" t="s">
        <v>236</v>
      </c>
      <c r="C24" s="186"/>
      <c r="D24" s="237">
        <f>□!D24</f>
        <v>17</v>
      </c>
      <c r="E24" s="156" t="s">
        <v>217</v>
      </c>
      <c r="F24" s="187" t="s">
        <v>237</v>
      </c>
      <c r="G24" s="188"/>
      <c r="H24" s="189"/>
      <c r="I24" s="189"/>
    </row>
    <row r="25" spans="2:21" ht="32.1" hidden="1" customHeight="1" x14ac:dyDescent="0.15">
      <c r="B25" s="157" t="s">
        <v>223</v>
      </c>
      <c r="C25" s="177">
        <f>□!$C$25</f>
        <v>2.4700000000000002</v>
      </c>
      <c r="D25" s="159">
        <f>IF(D3&lt;65,IF(40&lt;=D3,IF(430000&lt;=D11,ROUNDDOWN((D11-430000)*(C25/100),0),0),0),0)</f>
        <v>0</v>
      </c>
      <c r="E25" s="160">
        <f>IF(E3&lt;65,IF(40&lt;=E3,IF(430000&lt;=E11,ROUNDDOWN((E11-430000)*(C25/100),0),0),0),0)</f>
        <v>0</v>
      </c>
      <c r="F25" s="733">
        <f>IF(F3&lt;65,IF(40&lt;=F3,IF(430000&lt;=F11,ROUNDDOWN((F11-430000)*(C25/100),0),0),0),0)</f>
        <v>0</v>
      </c>
      <c r="G25" s="734"/>
      <c r="H25" s="160">
        <f>IF(H3&lt;65,IF(40&lt;=H3,IF(430000&lt;=H11,ROUNDDOWN((H11-430000)*(C25/100),0),0),0),0)</f>
        <v>0</v>
      </c>
      <c r="I25" s="160">
        <f>IF(I3&lt;65,IF(40&lt;=I3,IF(430000&lt;=I11,ROUNDDOWN((I11-430000)*(C25/100),0),0),0),0)</f>
        <v>0</v>
      </c>
      <c r="J25" s="269"/>
    </row>
    <row r="26" spans="2:21" ht="32.1" hidden="1" customHeight="1" thickBot="1" x14ac:dyDescent="0.2">
      <c r="B26" s="161" t="s">
        <v>224</v>
      </c>
      <c r="C26" s="162">
        <f>ROUNDDOWN(□!$C$26*((10-$I$2)/10),0)</f>
        <v>8760</v>
      </c>
      <c r="D26" s="234">
        <f>IF(D3&lt;65,IF(40&lt;=D3,$C$26,0),0)</f>
        <v>0</v>
      </c>
      <c r="E26" s="234">
        <f>IF(E3&lt;65,IF(40&lt;=E3,$C$26,0),0)</f>
        <v>0</v>
      </c>
      <c r="F26" s="800">
        <f>IF(F3&lt;65,IF(40&lt;=F3,$C$26,0),0)</f>
        <v>0</v>
      </c>
      <c r="G26" s="801"/>
      <c r="H26" s="234">
        <f>IF(H3&lt;65,IF(40&lt;=H3,$C$26,0),0)</f>
        <v>0</v>
      </c>
      <c r="I26" s="234">
        <f>IF(I3&lt;65,IF(40&lt;=I3,$C$26,0),0)</f>
        <v>0</v>
      </c>
      <c r="J26" s="269">
        <f>SUM(D26:I26)</f>
        <v>0</v>
      </c>
    </row>
    <row r="27" spans="2:21" ht="32.1" hidden="1" customHeight="1" thickTop="1" thickBot="1" x14ac:dyDescent="0.2">
      <c r="B27" s="758" t="s">
        <v>239</v>
      </c>
      <c r="C27" s="759"/>
      <c r="D27" s="183">
        <f>IF(ROUNDDOWN(D25+E25+F25+H25+I25+D26+E26+F26+H26+I26,-2)&lt;=170000,ROUNDDOWN(D25+E25+F25+H25+I25+D26+E26+F26+H26+I26,-2),170000)</f>
        <v>0</v>
      </c>
      <c r="E27" s="798" t="s">
        <v>226</v>
      </c>
      <c r="F27" s="799"/>
      <c r="G27" s="235"/>
      <c r="H27" s="236"/>
      <c r="I27" s="236"/>
    </row>
    <row r="28" spans="2:21" ht="10.5" hidden="1" customHeight="1" thickTop="1" x14ac:dyDescent="0.15">
      <c r="B28" s="701"/>
      <c r="C28" s="701"/>
      <c r="D28" s="184"/>
      <c r="E28" s="169"/>
      <c r="F28" s="743"/>
      <c r="G28" s="743"/>
    </row>
    <row r="29" spans="2:21" ht="24" hidden="1" customHeight="1" x14ac:dyDescent="0.15">
      <c r="B29" s="153" t="s">
        <v>240</v>
      </c>
      <c r="C29" s="186"/>
      <c r="D29" s="237">
        <f>□!D29</f>
        <v>3</v>
      </c>
      <c r="E29" s="156" t="s">
        <v>217</v>
      </c>
      <c r="F29" s="187" t="s">
        <v>237</v>
      </c>
      <c r="G29" s="188"/>
      <c r="H29" s="189"/>
      <c r="I29" s="189"/>
    </row>
    <row r="30" spans="2:21" ht="32.1" hidden="1" customHeight="1" x14ac:dyDescent="0.15">
      <c r="B30" s="157" t="s">
        <v>223</v>
      </c>
      <c r="C30" s="177">
        <v>0.26</v>
      </c>
      <c r="D30" s="159">
        <f>IF(D3&lt;75,IF(D11&lt;430000,0,ROUNDDOWN((D11-430000)*($C$30/100),0)),0)</f>
        <v>0</v>
      </c>
      <c r="E30" s="160">
        <f>IF(E3&lt;75,IF(E11&lt;430000,0,ROUNDDOWN((E11-430000)*($C$30/100),0)),0)</f>
        <v>0</v>
      </c>
      <c r="F30" s="733">
        <f t="shared" ref="F30:I30" si="0">IF(F3&lt;75,IF(F11&lt;430000,0,ROUNDDOWN((F11-430000)*($C$30/100),0)),0)</f>
        <v>0</v>
      </c>
      <c r="G30" s="734">
        <f t="shared" si="0"/>
        <v>0</v>
      </c>
      <c r="H30" s="160">
        <f t="shared" si="0"/>
        <v>0</v>
      </c>
      <c r="I30" s="160">
        <f t="shared" si="0"/>
        <v>0</v>
      </c>
      <c r="J30" s="269"/>
    </row>
    <row r="31" spans="2:21" ht="32.1" hidden="1" customHeight="1" x14ac:dyDescent="0.15">
      <c r="B31" s="161" t="s">
        <v>224</v>
      </c>
      <c r="C31" s="162">
        <f>ROUNDDOWN(□!$C$31*((10-$I$2)/10),0)</f>
        <v>796</v>
      </c>
      <c r="D31" s="160">
        <f>IF(D3="",0,IF(D3&lt;75,IF(D3&lt;18,0,$C$31),0))</f>
        <v>0</v>
      </c>
      <c r="E31" s="234">
        <f t="shared" ref="E31:I31" si="1">IF(E3="",0,IF(E3&lt;75,IF(E3&lt;18,0,$C$31),0))</f>
        <v>0</v>
      </c>
      <c r="F31" s="800">
        <f t="shared" si="1"/>
        <v>0</v>
      </c>
      <c r="G31" s="802">
        <f t="shared" si="1"/>
        <v>0</v>
      </c>
      <c r="H31" s="238">
        <f t="shared" si="1"/>
        <v>0</v>
      </c>
      <c r="I31" s="238">
        <f t="shared" si="1"/>
        <v>0</v>
      </c>
      <c r="J31" s="269">
        <f>SUM(D31:I31)</f>
        <v>0</v>
      </c>
    </row>
    <row r="32" spans="2:21" ht="31.5" hidden="1" customHeight="1" thickBot="1" x14ac:dyDescent="0.2">
      <c r="B32" s="157" t="s">
        <v>242</v>
      </c>
      <c r="C32" s="162">
        <f>ROUNDDOWN(□!$C$32*((10-$I$2)/10),0)</f>
        <v>55</v>
      </c>
      <c r="D32" s="160">
        <f>IF(D3="",0,IF(D3&lt;18,0,$C$32))</f>
        <v>0</v>
      </c>
      <c r="E32" s="160">
        <f t="shared" ref="E32:I32" si="2">IF(E3="",0,IF(E3&lt;18,0,$C$32))</f>
        <v>0</v>
      </c>
      <c r="F32" s="733">
        <f t="shared" si="2"/>
        <v>0</v>
      </c>
      <c r="G32" s="734">
        <f t="shared" si="2"/>
        <v>0</v>
      </c>
      <c r="H32" s="160">
        <f t="shared" si="2"/>
        <v>0</v>
      </c>
      <c r="I32" s="160">
        <f t="shared" si="2"/>
        <v>0</v>
      </c>
      <c r="J32" s="269">
        <f>SUM(D32:I32)</f>
        <v>0</v>
      </c>
      <c r="K32" s="125"/>
      <c r="L32" s="126"/>
      <c r="M32" s="126"/>
      <c r="N32" s="126"/>
      <c r="O32" s="126"/>
      <c r="P32" s="126"/>
      <c r="Q32" s="126"/>
      <c r="R32" s="126"/>
      <c r="S32" s="126"/>
      <c r="T32" s="126"/>
      <c r="U32" s="126"/>
    </row>
    <row r="33" spans="2:10" ht="32.1" hidden="1" customHeight="1" thickTop="1" thickBot="1" x14ac:dyDescent="0.2">
      <c r="B33" s="758" t="s">
        <v>243</v>
      </c>
      <c r="C33" s="759"/>
      <c r="D33" s="183">
        <f>IF(ROUNDDOWN(D30+E30+F30+H30+I30+D31+E31+F31+H31+I31,-2)&lt;=170000,ROUNDDOWN(D30+E30+F30+H30+I30+D31+E31+F31+H31+I31,-2),170000)</f>
        <v>0</v>
      </c>
      <c r="E33" s="798" t="s">
        <v>226</v>
      </c>
      <c r="F33" s="799"/>
      <c r="G33" s="235"/>
      <c r="H33" s="236"/>
      <c r="I33" s="236"/>
      <c r="J33" s="269">
        <f>SUM(J31:J32)</f>
        <v>0</v>
      </c>
    </row>
    <row r="34" spans="2:10" ht="20.100000000000001" hidden="1" customHeight="1" thickTop="1" thickBot="1" x14ac:dyDescent="0.2">
      <c r="B34" s="760"/>
      <c r="C34" s="760"/>
      <c r="D34" s="193"/>
      <c r="E34" s="169"/>
      <c r="F34" s="761"/>
      <c r="G34" s="761"/>
    </row>
    <row r="35" spans="2:10" ht="36" hidden="1" customHeight="1" thickTop="1" thickBot="1" x14ac:dyDescent="0.2">
      <c r="B35" s="755" t="s">
        <v>244</v>
      </c>
      <c r="C35" s="756"/>
      <c r="D35" s="194">
        <f>D17+D22+D27+D33</f>
        <v>0</v>
      </c>
      <c r="E35" s="195" t="s">
        <v>245</v>
      </c>
      <c r="F35" s="733">
        <f>ROUNDDOWN(D35/12,0)</f>
        <v>0</v>
      </c>
      <c r="G35" s="734"/>
    </row>
    <row r="36" spans="2:10" ht="16.5" hidden="1" customHeight="1" thickTop="1" thickBot="1" x14ac:dyDescent="0.2">
      <c r="B36" s="701"/>
      <c r="C36" s="701"/>
      <c r="D36" s="196"/>
      <c r="E36" s="239"/>
      <c r="F36" s="773"/>
      <c r="G36" s="773"/>
    </row>
    <row r="37" spans="2:10" ht="24" hidden="1" customHeight="1" thickBot="1" x14ac:dyDescent="0.2">
      <c r="B37" s="774" t="s">
        <v>249</v>
      </c>
      <c r="C37" s="775"/>
      <c r="D37" s="198" t="s">
        <v>250</v>
      </c>
      <c r="E37" s="199" t="s">
        <v>263</v>
      </c>
      <c r="F37" s="778" t="s">
        <v>251</v>
      </c>
      <c r="G37" s="779"/>
      <c r="H37" s="779"/>
      <c r="I37" s="779"/>
    </row>
    <row r="38" spans="2:10" ht="27.2" hidden="1" customHeight="1" thickTop="1" thickBot="1" x14ac:dyDescent="0.2">
      <c r="B38" s="776"/>
      <c r="C38" s="777"/>
      <c r="D38" s="248">
        <f>□!D38</f>
        <v>12</v>
      </c>
      <c r="E38" s="203">
        <f>ROUNDDOWN((D35*D38/12),-2)</f>
        <v>0</v>
      </c>
      <c r="G38" s="249">
        <f>□!G38</f>
        <v>4</v>
      </c>
      <c r="H38" s="763" t="s">
        <v>252</v>
      </c>
      <c r="I38" s="764"/>
    </row>
    <row r="39" spans="2:10" ht="24" hidden="1" customHeight="1" x14ac:dyDescent="0.15">
      <c r="B39" s="765" t="s">
        <v>253</v>
      </c>
      <c r="C39" s="766"/>
      <c r="D39" s="206" t="s">
        <v>254</v>
      </c>
      <c r="E39" s="207"/>
      <c r="G39" s="208">
        <f>D38</f>
        <v>12</v>
      </c>
      <c r="H39" s="209" t="s">
        <v>255</v>
      </c>
      <c r="I39" s="210"/>
    </row>
    <row r="40" spans="2:10" ht="27.2" hidden="1" customHeight="1" thickBot="1" x14ac:dyDescent="0.2">
      <c r="B40" s="767"/>
      <c r="C40" s="768"/>
      <c r="D40" s="250">
        <f>□!D40</f>
        <v>8</v>
      </c>
      <c r="E40" s="207"/>
      <c r="G40" s="208">
        <f>D40</f>
        <v>8</v>
      </c>
      <c r="H40" s="212" t="s">
        <v>256</v>
      </c>
      <c r="I40" s="213"/>
    </row>
    <row r="41" spans="2:10" ht="24" hidden="1" customHeight="1" thickTop="1" x14ac:dyDescent="0.2">
      <c r="B41" s="214"/>
      <c r="C41" s="214"/>
      <c r="D41" s="215" t="s">
        <v>257</v>
      </c>
      <c r="E41" s="215" t="s">
        <v>258</v>
      </c>
      <c r="G41" s="251">
        <f>□!G41</f>
        <v>7</v>
      </c>
      <c r="H41" s="769" t="s">
        <v>259</v>
      </c>
      <c r="I41" s="770"/>
    </row>
    <row r="42" spans="2:10" ht="24" hidden="1" customHeight="1" thickBot="1" x14ac:dyDescent="0.2">
      <c r="B42" s="214"/>
      <c r="C42" s="214"/>
      <c r="D42" s="217">
        <f>IF(D40="","",IF(D40=1,E38,IF(D40&lt;9,IF(D40&gt;1,E38-((D40-1)*E42),""),"")))</f>
        <v>0</v>
      </c>
      <c r="E42" s="217">
        <f>IF(D40="","",IF(D40&lt;9,IF(D40&gt;1,ROUNDDOWN(E38/D40,-2),""),""))</f>
        <v>0</v>
      </c>
      <c r="G42" s="218"/>
      <c r="H42" s="771"/>
      <c r="I42" s="772"/>
    </row>
    <row r="43" spans="2:10" ht="12" hidden="1" customHeight="1" thickTop="1" x14ac:dyDescent="0.15">
      <c r="C43" s="252"/>
      <c r="D43" s="252"/>
      <c r="E43" s="253"/>
      <c r="F43" s="254"/>
      <c r="G43" s="254"/>
      <c r="H43" s="255"/>
    </row>
    <row r="44" spans="2:10" hidden="1" x14ac:dyDescent="0.15"/>
    <row r="45" spans="2:10" ht="13.5" customHeight="1" x14ac:dyDescent="0.15"/>
    <row r="46" spans="2:10" ht="13.5" customHeight="1" x14ac:dyDescent="0.15"/>
    <row r="47" spans="2:10" ht="13.5" customHeight="1" x14ac:dyDescent="0.15"/>
    <row r="48" spans="2:10" ht="13.5" customHeight="1" x14ac:dyDescent="0.15"/>
  </sheetData>
  <sheetProtection algorithmName="SHA-512" hashValue="3rkiRPVcKLcr+MVtOd1wq3tFEs9pNNXcsUC1GyMC710bIgZAT0f6WG16pytYx38GqTvH9CKQIEh+PyjviZEmSw==" saltValue="2lImKAEMioFKk0aCcPrFgQ==" spinCount="100000" sheet="1" objects="1" scenarios="1" selectLockedCells="1" selectUnlockedCells="1"/>
  <mergeCells count="57">
    <mergeCell ref="B37:C38"/>
    <mergeCell ref="F37:I37"/>
    <mergeCell ref="H38:I38"/>
    <mergeCell ref="B39:C40"/>
    <mergeCell ref="H41:I42"/>
    <mergeCell ref="B34:C34"/>
    <mergeCell ref="F34:G34"/>
    <mergeCell ref="B35:C35"/>
    <mergeCell ref="F35:G35"/>
    <mergeCell ref="B36:C36"/>
    <mergeCell ref="F36:G36"/>
    <mergeCell ref="B33:C33"/>
    <mergeCell ref="E33:F33"/>
    <mergeCell ref="B23:C23"/>
    <mergeCell ref="F23:G23"/>
    <mergeCell ref="F25:G25"/>
    <mergeCell ref="F26:G26"/>
    <mergeCell ref="B27:C27"/>
    <mergeCell ref="E27:F27"/>
    <mergeCell ref="B28:C28"/>
    <mergeCell ref="F28:G28"/>
    <mergeCell ref="F30:G30"/>
    <mergeCell ref="F31:G31"/>
    <mergeCell ref="F32:G32"/>
    <mergeCell ref="B22:C22"/>
    <mergeCell ref="E22:F22"/>
    <mergeCell ref="B12:C12"/>
    <mergeCell ref="F12:G12"/>
    <mergeCell ref="F14:G14"/>
    <mergeCell ref="F15:G15"/>
    <mergeCell ref="F16:G16"/>
    <mergeCell ref="B17:C17"/>
    <mergeCell ref="E17:F17"/>
    <mergeCell ref="B18:C18"/>
    <mergeCell ref="F18:G18"/>
    <mergeCell ref="F19:G19"/>
    <mergeCell ref="F20:G20"/>
    <mergeCell ref="F21:G21"/>
    <mergeCell ref="B9:C9"/>
    <mergeCell ref="F9:G9"/>
    <mergeCell ref="B10:C10"/>
    <mergeCell ref="F10:G10"/>
    <mergeCell ref="B11:C11"/>
    <mergeCell ref="F11:G11"/>
    <mergeCell ref="B6:C6"/>
    <mergeCell ref="F6:G6"/>
    <mergeCell ref="B7:C7"/>
    <mergeCell ref="F7:G7"/>
    <mergeCell ref="B8:C8"/>
    <mergeCell ref="F8:G8"/>
    <mergeCell ref="B5:C5"/>
    <mergeCell ref="F5:G5"/>
    <mergeCell ref="F1:G1"/>
    <mergeCell ref="C2:D2"/>
    <mergeCell ref="F3:G3"/>
    <mergeCell ref="B4:C4"/>
    <mergeCell ref="F4:G4"/>
  </mergeCells>
  <phoneticPr fontId="1"/>
  <pageMargins left="0.62992125984251968" right="0.21" top="0.70866141732283472" bottom="0.35433070866141736" header="0.47244094488188981" footer="0.31496062992125984"/>
  <pageSetup paperSize="9" scale="8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37A98-DE5C-4D5E-B3B6-E4E3D0281445}">
  <dimension ref="B1:U48"/>
  <sheetViews>
    <sheetView topLeftCell="A45" zoomScale="60" zoomScaleNormal="60" workbookViewId="0">
      <selection activeCell="I70" sqref="I70"/>
    </sheetView>
  </sheetViews>
  <sheetFormatPr defaultColWidth="9" defaultRowHeight="13.5" x14ac:dyDescent="0.15"/>
  <cols>
    <col min="1" max="1" width="3.375" style="124" customWidth="1"/>
    <col min="2" max="3" width="16.625" style="124" customWidth="1"/>
    <col min="4" max="5" width="15.625" style="124" customWidth="1"/>
    <col min="6" max="6" width="10.125" style="124" customWidth="1"/>
    <col min="7" max="7" width="6.25" style="124" customWidth="1"/>
    <col min="8" max="9" width="15.625" style="124" customWidth="1"/>
    <col min="10" max="16384" width="9" style="124"/>
  </cols>
  <sheetData>
    <row r="1" spans="2:10" ht="11.25" hidden="1" customHeight="1" thickBot="1" x14ac:dyDescent="0.2">
      <c r="F1" s="783"/>
      <c r="G1" s="783"/>
    </row>
    <row r="2" spans="2:10" ht="29.25" hidden="1" customHeight="1" thickTop="1" x14ac:dyDescent="0.15">
      <c r="B2" s="219">
        <f>□!B2</f>
        <v>8</v>
      </c>
      <c r="C2" s="784" t="str">
        <f>□!C2:D2</f>
        <v>年齢はＲ8年１月１日現在</v>
      </c>
      <c r="D2" s="785"/>
      <c r="E2" s="220"/>
      <c r="F2" s="220"/>
      <c r="G2" s="220"/>
      <c r="H2" s="221" t="s">
        <v>261</v>
      </c>
      <c r="I2" s="256">
        <v>2</v>
      </c>
      <c r="J2" s="166"/>
    </row>
    <row r="3" spans="2:10" ht="30" hidden="1" customHeight="1" thickBot="1" x14ac:dyDescent="0.2">
      <c r="B3" s="223" t="s">
        <v>190</v>
      </c>
      <c r="C3" s="131" t="s">
        <v>191</v>
      </c>
      <c r="D3" s="224" t="str">
        <f>IF(LENB(□!D3)=0,"",□!D3)</f>
        <v/>
      </c>
      <c r="E3" s="224" t="str">
        <f>IF(LENB(□!E3)=0,"",□!E3)</f>
        <v/>
      </c>
      <c r="F3" s="786" t="str">
        <f>IF(LENB(□!F3)=0,"",□!F3)</f>
        <v/>
      </c>
      <c r="G3" s="787"/>
      <c r="H3" s="224" t="str">
        <f>IF(LENB(□!H3)=0,"",□!H3)</f>
        <v/>
      </c>
      <c r="I3" s="225" t="str">
        <f>IF(LENB(□!I3)=0,"",□!I3)</f>
        <v/>
      </c>
    </row>
    <row r="4" spans="2:10" ht="30" hidden="1" customHeight="1" thickBot="1" x14ac:dyDescent="0.2">
      <c r="B4" s="788" t="s">
        <v>262</v>
      </c>
      <c r="C4" s="789"/>
      <c r="D4" s="257" t="str">
        <f>□!D4</f>
        <v/>
      </c>
      <c r="E4" s="257" t="str">
        <f>□!E4</f>
        <v/>
      </c>
      <c r="F4" s="804" t="str">
        <f>□!F4:G4</f>
        <v/>
      </c>
      <c r="G4" s="804"/>
      <c r="H4" s="258" t="str">
        <f>□!H4</f>
        <v/>
      </c>
      <c r="I4" s="259" t="str">
        <f>□!I4</f>
        <v/>
      </c>
    </row>
    <row r="5" spans="2:10" ht="30" hidden="1" customHeight="1" x14ac:dyDescent="0.15">
      <c r="B5" s="710" t="s">
        <v>194</v>
      </c>
      <c r="C5" s="710"/>
      <c r="D5" s="229">
        <f>□!D5</f>
        <v>0</v>
      </c>
      <c r="E5" s="229">
        <f>□!E5</f>
        <v>0</v>
      </c>
      <c r="F5" s="781">
        <f>□!F5:G5</f>
        <v>0</v>
      </c>
      <c r="G5" s="782"/>
      <c r="H5" s="229">
        <f>□!H5</f>
        <v>0</v>
      </c>
      <c r="I5" s="229">
        <f>□!I5</f>
        <v>0</v>
      </c>
      <c r="J5" s="230"/>
    </row>
    <row r="6" spans="2:10" ht="30" hidden="1" customHeight="1" x14ac:dyDescent="0.15">
      <c r="B6" s="715" t="s">
        <v>197</v>
      </c>
      <c r="C6" s="715"/>
      <c r="D6" s="141">
        <f>□!D6</f>
        <v>0</v>
      </c>
      <c r="E6" s="141">
        <f>□!E6</f>
        <v>0</v>
      </c>
      <c r="F6" s="792">
        <f>□!F6:G6</f>
        <v>0</v>
      </c>
      <c r="G6" s="793"/>
      <c r="H6" s="141">
        <f>□!H6</f>
        <v>0</v>
      </c>
      <c r="I6" s="141">
        <f>□!I6</f>
        <v>0</v>
      </c>
    </row>
    <row r="7" spans="2:10" ht="30" hidden="1" customHeight="1" x14ac:dyDescent="0.15">
      <c r="B7" s="720" t="s">
        <v>199</v>
      </c>
      <c r="C7" s="720"/>
      <c r="D7" s="231">
        <f>□!D7</f>
        <v>0</v>
      </c>
      <c r="E7" s="231">
        <f>□!E7</f>
        <v>0</v>
      </c>
      <c r="F7" s="794">
        <f>□!F7:G7</f>
        <v>0</v>
      </c>
      <c r="G7" s="795"/>
      <c r="H7" s="231">
        <f>□!H7</f>
        <v>0</v>
      </c>
      <c r="I7" s="231">
        <f>□!I7</f>
        <v>0</v>
      </c>
    </row>
    <row r="8" spans="2:10" ht="30" hidden="1" customHeight="1" x14ac:dyDescent="0.15">
      <c r="B8" s="715" t="s">
        <v>203</v>
      </c>
      <c r="C8" s="715"/>
      <c r="D8" s="148">
        <f>□!D8</f>
        <v>0</v>
      </c>
      <c r="E8" s="148">
        <f>□!E8</f>
        <v>0</v>
      </c>
      <c r="F8" s="727">
        <f>□!F8:G8</f>
        <v>0</v>
      </c>
      <c r="G8" s="728"/>
      <c r="H8" s="148">
        <f>□!H8</f>
        <v>0</v>
      </c>
      <c r="I8" s="148">
        <f>□!I8</f>
        <v>0</v>
      </c>
    </row>
    <row r="9" spans="2:10" ht="30" hidden="1" customHeight="1" x14ac:dyDescent="0.15">
      <c r="B9" s="720" t="s">
        <v>209</v>
      </c>
      <c r="C9" s="720"/>
      <c r="D9" s="231">
        <f>□!D9</f>
        <v>0</v>
      </c>
      <c r="E9" s="231">
        <f>□!E9</f>
        <v>0</v>
      </c>
      <c r="F9" s="794">
        <f>□!F9:G9</f>
        <v>0</v>
      </c>
      <c r="G9" s="795"/>
      <c r="H9" s="231">
        <f>□!H9</f>
        <v>0</v>
      </c>
      <c r="I9" s="231">
        <f>□!I9</f>
        <v>0</v>
      </c>
    </row>
    <row r="10" spans="2:10" ht="30" hidden="1" customHeight="1" x14ac:dyDescent="0.15">
      <c r="B10" s="720" t="s">
        <v>211</v>
      </c>
      <c r="C10" s="720"/>
      <c r="D10" s="231">
        <f>□!D10</f>
        <v>0</v>
      </c>
      <c r="E10" s="231">
        <f>□!E10</f>
        <v>0</v>
      </c>
      <c r="F10" s="794">
        <f>□!F10:G10</f>
        <v>0</v>
      </c>
      <c r="G10" s="795"/>
      <c r="H10" s="231">
        <f>□!H10</f>
        <v>0</v>
      </c>
      <c r="I10" s="231">
        <f>□!I10</f>
        <v>0</v>
      </c>
    </row>
    <row r="11" spans="2:10" ht="30" hidden="1" customHeight="1" x14ac:dyDescent="0.15">
      <c r="B11" s="715" t="s">
        <v>213</v>
      </c>
      <c r="C11" s="715"/>
      <c r="D11" s="150">
        <f>D6+D8+D9+D10</f>
        <v>0</v>
      </c>
      <c r="E11" s="148">
        <f>E6+E8+E9+E10</f>
        <v>0</v>
      </c>
      <c r="F11" s="727">
        <f>F6+F8+F9+F10</f>
        <v>0</v>
      </c>
      <c r="G11" s="728"/>
      <c r="H11" s="148">
        <f>H6+H8+H9+H10</f>
        <v>0</v>
      </c>
      <c r="I11" s="148">
        <f>I6+I8+I9+I10</f>
        <v>0</v>
      </c>
    </row>
    <row r="12" spans="2:10" ht="30" hidden="1" customHeight="1" x14ac:dyDescent="0.15">
      <c r="B12" s="260"/>
      <c r="C12" s="260"/>
      <c r="D12" s="261"/>
      <c r="E12" s="262"/>
      <c r="F12" s="805"/>
      <c r="G12" s="805"/>
      <c r="H12" s="263"/>
      <c r="I12" s="263"/>
    </row>
    <row r="13" spans="2:10" ht="10.5" hidden="1" customHeight="1" x14ac:dyDescent="0.15">
      <c r="B13" s="701"/>
      <c r="C13" s="701"/>
      <c r="D13" s="152"/>
      <c r="E13" s="152"/>
      <c r="F13" s="730"/>
      <c r="G13" s="730"/>
      <c r="H13" s="152"/>
      <c r="I13" s="152"/>
    </row>
    <row r="14" spans="2:10" ht="24" hidden="1" customHeight="1" x14ac:dyDescent="0.15">
      <c r="B14" s="153" t="s">
        <v>216</v>
      </c>
      <c r="C14" s="154"/>
      <c r="D14" s="155">
        <f>□!D14</f>
        <v>66</v>
      </c>
      <c r="E14" s="156" t="s">
        <v>217</v>
      </c>
      <c r="F14" s="736"/>
      <c r="G14" s="736"/>
    </row>
    <row r="15" spans="2:10" ht="32.1" hidden="1" customHeight="1" x14ac:dyDescent="0.15">
      <c r="B15" s="157" t="s">
        <v>223</v>
      </c>
      <c r="C15" s="158">
        <f>□!$C$15</f>
        <v>7.97</v>
      </c>
      <c r="D15" s="159">
        <f>IF(D3&lt;75,IF(D11&lt;430000,0,ROUNDDOWN((D11-430000)*(C15/100),0)),0)</f>
        <v>0</v>
      </c>
      <c r="E15" s="160">
        <f>IF(E3&lt;75,IF(E11&lt;430000,0,ROUNDDOWN((E11-430000)*(C15/100),0)),0)</f>
        <v>0</v>
      </c>
      <c r="F15" s="733">
        <f>IF(F3&lt;75,IF(F11&lt;430000,0,ROUNDDOWN((F11-430000)*(C15/100),0)),0)</f>
        <v>0</v>
      </c>
      <c r="G15" s="734"/>
      <c r="H15" s="160">
        <f>IF(H3&lt;75,IF(H11&lt;430000,0,ROUNDDOWN((H11-430000)*(C15/100),0)),0)</f>
        <v>0</v>
      </c>
      <c r="I15" s="160">
        <f>IF(I3&lt;75,IF(I11&lt;430000,0,ROUNDDOWN((I11-430000)*(C15/100),0)),0)</f>
        <v>0</v>
      </c>
      <c r="J15" s="269"/>
    </row>
    <row r="16" spans="2:10" ht="32.1" hidden="1" customHeight="1" thickBot="1" x14ac:dyDescent="0.2">
      <c r="B16" s="161" t="s">
        <v>224</v>
      </c>
      <c r="C16" s="162">
        <f>ROUNDDOWN(□!$C$16*((10-$I$2)/10),0)</f>
        <v>38736</v>
      </c>
      <c r="D16" s="234">
        <f>IF(D3="",0,IF(D3&lt;75,IF(D3&lt;75,IF(D4="未就学児",$C$16/2,$C$16),0)))</f>
        <v>0</v>
      </c>
      <c r="E16" s="234">
        <f>IF(E3="",0,IF(E3&lt;75,IF(E3&lt;75,IF(E4="未就学児",$C$16/2,$C$16),0)))</f>
        <v>0</v>
      </c>
      <c r="F16" s="800">
        <f>IF(F3="",0,IF(F3&lt;75,IF(F3&lt;75,IF(F4="未就学児",$C$16/2,$C$16),0)))</f>
        <v>0</v>
      </c>
      <c r="G16" s="801"/>
      <c r="H16" s="234">
        <f>IF(H3="",0,IF(H3&lt;75,IF(H3&lt;75,IF(H4="未就学児",$C$16/2,$C$16),0)))</f>
        <v>0</v>
      </c>
      <c r="I16" s="234">
        <f>IF(I3="",0,IF(I3&lt;75,IF(I3&lt;75,IF(I4="未就学児",$C$16/2,$C$16),0)))</f>
        <v>0</v>
      </c>
      <c r="J16" s="269">
        <f>SUM(D16:I16)</f>
        <v>0</v>
      </c>
    </row>
    <row r="17" spans="2:21" ht="32.1" hidden="1" customHeight="1" thickTop="1" thickBot="1" x14ac:dyDescent="0.2">
      <c r="B17" s="720" t="s">
        <v>225</v>
      </c>
      <c r="C17" s="739"/>
      <c r="D17" s="168">
        <f>IF(ROUNDDOWN(D15+E15+F15+H15+I15+D16+E16+F16+H16+I16,-2)&lt;=660000,ROUNDDOWN(D15+E15+F15+H15+I15+D16+E16+F16+H16+I16,-2),660000)</f>
        <v>0</v>
      </c>
      <c r="E17" s="740" t="s">
        <v>226</v>
      </c>
      <c r="F17" s="741"/>
      <c r="G17" s="169"/>
    </row>
    <row r="18" spans="2:21" ht="10.5" hidden="1" customHeight="1" thickTop="1" x14ac:dyDescent="0.15">
      <c r="B18" s="701"/>
      <c r="C18" s="701"/>
      <c r="D18" s="171"/>
      <c r="E18" s="169"/>
      <c r="F18" s="743"/>
      <c r="G18" s="743"/>
    </row>
    <row r="19" spans="2:21" ht="24" hidden="1" customHeight="1" x14ac:dyDescent="0.15">
      <c r="B19" s="153" t="s">
        <v>227</v>
      </c>
      <c r="C19" s="154"/>
      <c r="D19" s="173"/>
      <c r="E19" s="173">
        <f>□!E19</f>
        <v>26</v>
      </c>
      <c r="F19" s="746" t="s">
        <v>217</v>
      </c>
      <c r="G19" s="746"/>
    </row>
    <row r="20" spans="2:21" ht="32.1" hidden="1" customHeight="1" x14ac:dyDescent="0.15">
      <c r="B20" s="157" t="s">
        <v>223</v>
      </c>
      <c r="C20" s="177">
        <f>□!$C$20</f>
        <v>2.85</v>
      </c>
      <c r="D20" s="159">
        <f>IF(D3&lt;75,IF(D11&lt;430000,0,ROUNDDOWN((D11-430000)*(C20/100),0)),0)</f>
        <v>0</v>
      </c>
      <c r="E20" s="160">
        <f>IF(E3&lt;75,IF(E11&lt;430000,0,ROUNDDOWN((E11-430000)*(C20/100),0)),0)</f>
        <v>0</v>
      </c>
      <c r="F20" s="733">
        <f>IF(F3&lt;75,IF(F11&lt;430000,0,ROUNDDOWN((F11-430000)*(C20/100),0)),0)</f>
        <v>0</v>
      </c>
      <c r="G20" s="734"/>
      <c r="H20" s="160">
        <f>IF(H3&lt;75,IF(H11&lt;430000,0,ROUNDDOWN((H11-430000)*(C20/100),0)),0)</f>
        <v>0</v>
      </c>
      <c r="I20" s="160">
        <f>IF(I3&lt;75,IF(I11&lt;430000,0,ROUNDDOWN((I11-430000)*(C20/100),0)),0)</f>
        <v>0</v>
      </c>
      <c r="J20" s="269"/>
    </row>
    <row r="21" spans="2:21" ht="32.1" hidden="1" customHeight="1" thickBot="1" x14ac:dyDescent="0.2">
      <c r="B21" s="161" t="s">
        <v>224</v>
      </c>
      <c r="C21" s="179">
        <f>ROUNDDOWN(□!$C$21*((10-$I$2)/10),0)</f>
        <v>13761</v>
      </c>
      <c r="D21" s="234">
        <f>IF(D$3="",0,IF(D$3&lt;75,IF(D$4="未就学児",ROUNDDOWN($C$21/2,0),$C$21),0))</f>
        <v>0</v>
      </c>
      <c r="E21" s="234">
        <f>IF(E$3="",0,IF(E$3&lt;75,IF(E$4="未就学児",ROUNDDOWN($C$21/2,0),$C$21),0))</f>
        <v>0</v>
      </c>
      <c r="F21" s="800">
        <f>IF(F$3="",0,IF(F$3&lt;75,IF(F$4="未就学児",ROUNDDOWN($C$21/2,0),$C$21),0))</f>
        <v>0</v>
      </c>
      <c r="G21" s="801"/>
      <c r="H21" s="234">
        <f>IF(H$3="",0,IF(H$3&lt;75,IF(H$4="未就学児",ROUNDDOWN($C$21/2,0),$C$21),0))</f>
        <v>0</v>
      </c>
      <c r="I21" s="234">
        <f>IF(I$3="",0,IF(I$3&lt;75,IF(I$4="未就学児",ROUNDDOWN($C$21/2,0),$C$21),0))</f>
        <v>0</v>
      </c>
      <c r="J21" s="269">
        <f>SUM(D21:I21)</f>
        <v>0</v>
      </c>
    </row>
    <row r="22" spans="2:21" ht="32.1" hidden="1" customHeight="1" thickTop="1" thickBot="1" x14ac:dyDescent="0.2">
      <c r="B22" s="796" t="s">
        <v>235</v>
      </c>
      <c r="C22" s="797"/>
      <c r="D22" s="183">
        <f>IF(ROUNDDOWN(D20+E20+F20+H20+I20+D21+E21+F21+H21+I21,-2)&lt;=260000,ROUNDDOWN(D20+E20+F20+H20+I20+D21+E21+F21+H21+I21,-2),260000)</f>
        <v>0</v>
      </c>
      <c r="E22" s="798" t="s">
        <v>226</v>
      </c>
      <c r="F22" s="799"/>
      <c r="G22" s="235"/>
      <c r="H22" s="236"/>
      <c r="I22" s="236"/>
    </row>
    <row r="23" spans="2:21" ht="10.5" hidden="1" customHeight="1" thickTop="1" x14ac:dyDescent="0.15">
      <c r="B23" s="701"/>
      <c r="C23" s="701"/>
      <c r="D23" s="184"/>
      <c r="E23" s="169"/>
      <c r="F23" s="743"/>
      <c r="G23" s="743"/>
    </row>
    <row r="24" spans="2:21" ht="24" hidden="1" customHeight="1" x14ac:dyDescent="0.15">
      <c r="B24" s="153" t="s">
        <v>236</v>
      </c>
      <c r="C24" s="186"/>
      <c r="D24" s="237">
        <f>□!D24</f>
        <v>17</v>
      </c>
      <c r="E24" s="156" t="s">
        <v>217</v>
      </c>
      <c r="F24" s="187" t="s">
        <v>237</v>
      </c>
      <c r="G24" s="188"/>
      <c r="H24" s="189"/>
      <c r="I24" s="189"/>
    </row>
    <row r="25" spans="2:21" ht="32.1" hidden="1" customHeight="1" x14ac:dyDescent="0.15">
      <c r="B25" s="157" t="s">
        <v>223</v>
      </c>
      <c r="C25" s="177">
        <f>□!$C$25</f>
        <v>2.4700000000000002</v>
      </c>
      <c r="D25" s="159">
        <f>IF(D3&lt;65,IF(40&lt;=D3,IF(430000&lt;=D11,ROUNDDOWN((D11-430000)*(C25/100),0),0),0),0)</f>
        <v>0</v>
      </c>
      <c r="E25" s="160">
        <f>IF(E3&lt;65,IF(40&lt;=E3,IF(430000&lt;=E11,ROUNDDOWN((E11-430000)*(C25/100),0),0),0),0)</f>
        <v>0</v>
      </c>
      <c r="F25" s="733">
        <f>IF(F3&lt;65,IF(40&lt;=F3,IF(430000&lt;=F11,ROUNDDOWN((F11-430000)*(C25/100),0),0),0),0)</f>
        <v>0</v>
      </c>
      <c r="G25" s="734"/>
      <c r="H25" s="160">
        <f>IF(H3&lt;65,IF(40&lt;=H3,IF(430000&lt;=H11,ROUNDDOWN((H11-430000)*(C25/100),0),0),0),0)</f>
        <v>0</v>
      </c>
      <c r="I25" s="160">
        <f>IF(I3&lt;65,IF(40&lt;=I3,IF(430000&lt;=I11,ROUNDDOWN((I11-430000)*(C25/100),0),0),0),0)</f>
        <v>0</v>
      </c>
      <c r="J25" s="269"/>
    </row>
    <row r="26" spans="2:21" ht="32.1" hidden="1" customHeight="1" thickBot="1" x14ac:dyDescent="0.2">
      <c r="B26" s="161" t="s">
        <v>224</v>
      </c>
      <c r="C26" s="162">
        <f>ROUNDDOWN(□!$C$26*((10-$I$2)/10),0)</f>
        <v>14016</v>
      </c>
      <c r="D26" s="234">
        <f>IF(D3&lt;65,IF(40&lt;=D3,$C$26,0),0)</f>
        <v>0</v>
      </c>
      <c r="E26" s="234">
        <f>IF(E3&lt;65,IF(40&lt;=E3,$C$26,0),0)</f>
        <v>0</v>
      </c>
      <c r="F26" s="800">
        <f>IF(F3&lt;65,IF(40&lt;=F3,$C$26,0),0)</f>
        <v>0</v>
      </c>
      <c r="G26" s="801"/>
      <c r="H26" s="234">
        <f>IF(H3&lt;65,IF(40&lt;=H3,$C$26,0),0)</f>
        <v>0</v>
      </c>
      <c r="I26" s="234">
        <f>IF(I3&lt;65,IF(40&lt;=I3,$C$26,0),0)</f>
        <v>0</v>
      </c>
      <c r="J26" s="269">
        <f>SUM(D26:I26)</f>
        <v>0</v>
      </c>
    </row>
    <row r="27" spans="2:21" ht="32.1" hidden="1" customHeight="1" thickTop="1" thickBot="1" x14ac:dyDescent="0.2">
      <c r="B27" s="758" t="s">
        <v>239</v>
      </c>
      <c r="C27" s="759"/>
      <c r="D27" s="183">
        <f>IF(ROUNDDOWN(D25+E25+F25+H25+I25+D26+E26+F26+H26+I26,-2)&lt;=170000,ROUNDDOWN(D25+E25+F25+H25+I25+D26+E26+F26+H26+I26,-2),170000)</f>
        <v>0</v>
      </c>
      <c r="E27" s="798" t="s">
        <v>226</v>
      </c>
      <c r="F27" s="799"/>
      <c r="G27" s="235"/>
      <c r="H27" s="236"/>
      <c r="I27" s="236"/>
    </row>
    <row r="28" spans="2:21" ht="10.5" hidden="1" customHeight="1" thickTop="1" x14ac:dyDescent="0.15">
      <c r="B28" s="701"/>
      <c r="C28" s="701"/>
      <c r="D28" s="184"/>
      <c r="E28" s="169"/>
      <c r="F28" s="743"/>
      <c r="G28" s="743"/>
    </row>
    <row r="29" spans="2:21" ht="24" hidden="1" customHeight="1" x14ac:dyDescent="0.15">
      <c r="B29" s="153" t="s">
        <v>240</v>
      </c>
      <c r="C29" s="186"/>
      <c r="D29" s="237">
        <f>□!D29</f>
        <v>3</v>
      </c>
      <c r="E29" s="156" t="s">
        <v>217</v>
      </c>
      <c r="F29" s="187" t="s">
        <v>237</v>
      </c>
      <c r="G29" s="188"/>
      <c r="H29" s="189"/>
      <c r="I29" s="189"/>
    </row>
    <row r="30" spans="2:21" ht="32.1" hidden="1" customHeight="1" x14ac:dyDescent="0.15">
      <c r="B30" s="157" t="s">
        <v>223</v>
      </c>
      <c r="C30" s="177">
        <v>0.26</v>
      </c>
      <c r="D30" s="159">
        <f>IF(D3&lt;75,IF(D11&lt;430000,0,ROUNDDOWN((D11-430000)*($C$30/100),0)),0)</f>
        <v>0</v>
      </c>
      <c r="E30" s="160">
        <f>IF(E3&lt;75,IF(E11&lt;430000,0,ROUNDDOWN((E11-430000)*($C$30/100),0)),0)</f>
        <v>0</v>
      </c>
      <c r="F30" s="733">
        <f t="shared" ref="F30:I30" si="0">IF(F3&lt;75,IF(F11&lt;430000,0,ROUNDDOWN((F11-430000)*($C$30/100),0)),0)</f>
        <v>0</v>
      </c>
      <c r="G30" s="734">
        <f t="shared" si="0"/>
        <v>0</v>
      </c>
      <c r="H30" s="160">
        <f t="shared" si="0"/>
        <v>0</v>
      </c>
      <c r="I30" s="160">
        <f t="shared" si="0"/>
        <v>0</v>
      </c>
      <c r="J30" s="269"/>
    </row>
    <row r="31" spans="2:21" ht="32.1" hidden="1" customHeight="1" x14ac:dyDescent="0.15">
      <c r="B31" s="161" t="s">
        <v>224</v>
      </c>
      <c r="C31" s="162">
        <f>ROUNDDOWN(□!$C$31*((10-$I$2)/10),0)</f>
        <v>1273</v>
      </c>
      <c r="D31" s="160">
        <f>IF(D3="",0,IF(D3&lt;75,IF(D3&lt;18,0,$C$31),0))</f>
        <v>0</v>
      </c>
      <c r="E31" s="234">
        <f t="shared" ref="E31:I31" si="1">IF(E3="",0,IF(E3&lt;75,IF(E3&lt;18,0,$C$31),0))</f>
        <v>0</v>
      </c>
      <c r="F31" s="800">
        <f t="shared" si="1"/>
        <v>0</v>
      </c>
      <c r="G31" s="802">
        <f t="shared" si="1"/>
        <v>0</v>
      </c>
      <c r="H31" s="238">
        <f t="shared" si="1"/>
        <v>0</v>
      </c>
      <c r="I31" s="238">
        <f t="shared" si="1"/>
        <v>0</v>
      </c>
      <c r="J31" s="269">
        <f>SUM(D31:I31)</f>
        <v>0</v>
      </c>
    </row>
    <row r="32" spans="2:21" ht="31.5" hidden="1" customHeight="1" thickBot="1" x14ac:dyDescent="0.2">
      <c r="B32" s="157" t="s">
        <v>242</v>
      </c>
      <c r="C32" s="162">
        <f>ROUNDDOWN(□!$C$32*((10-$I$2)/10),0)</f>
        <v>88</v>
      </c>
      <c r="D32" s="160">
        <f>IF(D3="",0,IF(D3&lt;18,0,$C$32))</f>
        <v>0</v>
      </c>
      <c r="E32" s="160">
        <f t="shared" ref="E32:I32" si="2">IF(E3="",0,IF(E3&lt;18,0,$C$32))</f>
        <v>0</v>
      </c>
      <c r="F32" s="733">
        <f t="shared" si="2"/>
        <v>0</v>
      </c>
      <c r="G32" s="734">
        <f t="shared" si="2"/>
        <v>0</v>
      </c>
      <c r="H32" s="160">
        <f t="shared" si="2"/>
        <v>0</v>
      </c>
      <c r="I32" s="160">
        <f t="shared" si="2"/>
        <v>0</v>
      </c>
      <c r="J32" s="269">
        <f>SUM(D32:I32)</f>
        <v>0</v>
      </c>
      <c r="K32" s="125"/>
      <c r="L32" s="126"/>
      <c r="M32" s="126"/>
      <c r="N32" s="126"/>
      <c r="O32" s="126"/>
      <c r="P32" s="126"/>
      <c r="Q32" s="126"/>
      <c r="R32" s="126"/>
      <c r="S32" s="126"/>
      <c r="T32" s="126"/>
      <c r="U32" s="126"/>
    </row>
    <row r="33" spans="2:10" ht="32.1" hidden="1" customHeight="1" thickTop="1" thickBot="1" x14ac:dyDescent="0.2">
      <c r="B33" s="758" t="s">
        <v>243</v>
      </c>
      <c r="C33" s="759"/>
      <c r="D33" s="183">
        <f>IF(ROUNDDOWN(D30+E30+F30+H30+I30+D31+E31+F31+H31+I31,-2)&lt;=170000,ROUNDDOWN(D30+E30+F30+H30+I30+D31+E31+F31+H31+I31,-2),170000)</f>
        <v>0</v>
      </c>
      <c r="E33" s="798" t="s">
        <v>226</v>
      </c>
      <c r="F33" s="799"/>
      <c r="G33" s="235"/>
      <c r="H33" s="236"/>
      <c r="I33" s="236"/>
      <c r="J33" s="269">
        <f>SUM(J31:J32)</f>
        <v>0</v>
      </c>
    </row>
    <row r="34" spans="2:10" ht="20.100000000000001" hidden="1" customHeight="1" thickTop="1" thickBot="1" x14ac:dyDescent="0.2">
      <c r="B34" s="760"/>
      <c r="C34" s="760"/>
      <c r="D34" s="193"/>
      <c r="E34" s="169"/>
      <c r="F34" s="761"/>
      <c r="G34" s="761"/>
    </row>
    <row r="35" spans="2:10" ht="36" hidden="1" customHeight="1" thickTop="1" thickBot="1" x14ac:dyDescent="0.2">
      <c r="B35" s="755" t="s">
        <v>244</v>
      </c>
      <c r="C35" s="756"/>
      <c r="D35" s="194">
        <f>D17+D22+D27+D33</f>
        <v>0</v>
      </c>
      <c r="E35" s="195" t="s">
        <v>245</v>
      </c>
      <c r="F35" s="733">
        <f>ROUNDDOWN(D35/12,0)</f>
        <v>0</v>
      </c>
      <c r="G35" s="734"/>
    </row>
    <row r="36" spans="2:10" ht="16.5" hidden="1" customHeight="1" thickTop="1" thickBot="1" x14ac:dyDescent="0.2">
      <c r="B36" s="701"/>
      <c r="C36" s="701"/>
      <c r="D36" s="196"/>
      <c r="E36" s="239"/>
      <c r="F36" s="773"/>
      <c r="G36" s="773"/>
    </row>
    <row r="37" spans="2:10" ht="24" hidden="1" customHeight="1" thickBot="1" x14ac:dyDescent="0.2">
      <c r="B37" s="774" t="s">
        <v>249</v>
      </c>
      <c r="C37" s="775"/>
      <c r="D37" s="198" t="s">
        <v>250</v>
      </c>
      <c r="E37" s="199" t="s">
        <v>263</v>
      </c>
      <c r="F37" s="778" t="s">
        <v>251</v>
      </c>
      <c r="G37" s="779"/>
      <c r="H37" s="779"/>
      <c r="I37" s="779"/>
    </row>
    <row r="38" spans="2:10" ht="27.2" hidden="1" customHeight="1" thickTop="1" thickBot="1" x14ac:dyDescent="0.2">
      <c r="B38" s="776"/>
      <c r="C38" s="777"/>
      <c r="D38" s="264">
        <f>□!D38</f>
        <v>12</v>
      </c>
      <c r="E38" s="203">
        <f>ROUNDDOWN((D35*D38/12),-2)</f>
        <v>0</v>
      </c>
      <c r="G38" s="265">
        <f>□!G38</f>
        <v>4</v>
      </c>
      <c r="H38" s="763" t="s">
        <v>252</v>
      </c>
      <c r="I38" s="764"/>
    </row>
    <row r="39" spans="2:10" ht="24" hidden="1" customHeight="1" x14ac:dyDescent="0.15">
      <c r="B39" s="765" t="s">
        <v>253</v>
      </c>
      <c r="C39" s="766"/>
      <c r="D39" s="206" t="s">
        <v>254</v>
      </c>
      <c r="E39" s="207"/>
      <c r="G39" s="208">
        <f>D38</f>
        <v>12</v>
      </c>
      <c r="H39" s="209" t="s">
        <v>255</v>
      </c>
      <c r="I39" s="210"/>
    </row>
    <row r="40" spans="2:10" ht="27.2" hidden="1" customHeight="1" thickBot="1" x14ac:dyDescent="0.2">
      <c r="B40" s="767"/>
      <c r="C40" s="768"/>
      <c r="D40" s="266">
        <f>□!D40</f>
        <v>8</v>
      </c>
      <c r="E40" s="207"/>
      <c r="G40" s="208">
        <f>D40</f>
        <v>8</v>
      </c>
      <c r="H40" s="212" t="s">
        <v>256</v>
      </c>
      <c r="I40" s="213"/>
    </row>
    <row r="41" spans="2:10" ht="24" hidden="1" customHeight="1" thickTop="1" x14ac:dyDescent="0.2">
      <c r="B41" s="214"/>
      <c r="C41" s="214"/>
      <c r="D41" s="215" t="s">
        <v>257</v>
      </c>
      <c r="E41" s="215" t="s">
        <v>258</v>
      </c>
      <c r="G41" s="267">
        <f>□!G41</f>
        <v>7</v>
      </c>
      <c r="H41" s="769" t="s">
        <v>259</v>
      </c>
      <c r="I41" s="770"/>
    </row>
    <row r="42" spans="2:10" ht="24" hidden="1" customHeight="1" thickBot="1" x14ac:dyDescent="0.2">
      <c r="B42" s="214"/>
      <c r="C42" s="214"/>
      <c r="D42" s="217">
        <f>IF(D40="","",IF(D40=1,E38,IF(D40&lt;9,IF(D40&gt;1,E38-((D40-1)*E42),""),"")))</f>
        <v>0</v>
      </c>
      <c r="E42" s="217">
        <f>IF(D40="","",IF(D40&lt;9,IF(D40&gt;1,ROUNDDOWN(E38/D40,-2),""),""))</f>
        <v>0</v>
      </c>
      <c r="G42" s="218"/>
      <c r="H42" s="771"/>
      <c r="I42" s="772"/>
    </row>
    <row r="43" spans="2:10" ht="12" hidden="1" customHeight="1" thickTop="1" x14ac:dyDescent="0.15">
      <c r="C43" s="252"/>
      <c r="D43" s="252"/>
      <c r="E43" s="253"/>
      <c r="F43" s="254"/>
      <c r="G43" s="254"/>
      <c r="H43" s="255"/>
    </row>
    <row r="44" spans="2:10" hidden="1" x14ac:dyDescent="0.15"/>
    <row r="45" spans="2:10" ht="13.5" customHeight="1" x14ac:dyDescent="0.15"/>
    <row r="46" spans="2:10" ht="13.5" customHeight="1" x14ac:dyDescent="0.15"/>
    <row r="47" spans="2:10" ht="13.5" customHeight="1" x14ac:dyDescent="0.15"/>
    <row r="48" spans="2:10" ht="13.5" customHeight="1" x14ac:dyDescent="0.15"/>
  </sheetData>
  <sheetProtection algorithmName="SHA-512" hashValue="Z8OgYMcI25neMrdBoqDBvdCaZArmQg2TmK0DOGgu/CkcR7QFU5J/do6bxShVO+vXg9BJuwM8CqdXb9+VQMXwaA==" saltValue="9mdEr2bIF1ZGjUrtuqAEPw==" spinCount="100000" sheet="1" objects="1" scenarios="1" selectLockedCells="1" selectUnlockedCells="1"/>
  <mergeCells count="58">
    <mergeCell ref="B39:C40"/>
    <mergeCell ref="H41:I42"/>
    <mergeCell ref="B35:C35"/>
    <mergeCell ref="F35:G35"/>
    <mergeCell ref="B36:C36"/>
    <mergeCell ref="F36:G36"/>
    <mergeCell ref="B37:C38"/>
    <mergeCell ref="F37:I37"/>
    <mergeCell ref="H38:I38"/>
    <mergeCell ref="F31:G31"/>
    <mergeCell ref="F32:G32"/>
    <mergeCell ref="B33:C33"/>
    <mergeCell ref="E33:F33"/>
    <mergeCell ref="B34:C34"/>
    <mergeCell ref="F34:G34"/>
    <mergeCell ref="F30:G30"/>
    <mergeCell ref="F21:G21"/>
    <mergeCell ref="B22:C22"/>
    <mergeCell ref="E22:F22"/>
    <mergeCell ref="B23:C23"/>
    <mergeCell ref="F23:G23"/>
    <mergeCell ref="F25:G25"/>
    <mergeCell ref="F26:G26"/>
    <mergeCell ref="B27:C27"/>
    <mergeCell ref="E27:F27"/>
    <mergeCell ref="B28:C28"/>
    <mergeCell ref="F28:G28"/>
    <mergeCell ref="F20:G20"/>
    <mergeCell ref="F12:G12"/>
    <mergeCell ref="B13:C13"/>
    <mergeCell ref="F13:G13"/>
    <mergeCell ref="F14:G14"/>
    <mergeCell ref="F15:G15"/>
    <mergeCell ref="F16:G16"/>
    <mergeCell ref="B17:C17"/>
    <mergeCell ref="E17:F17"/>
    <mergeCell ref="B18:C18"/>
    <mergeCell ref="F18:G18"/>
    <mergeCell ref="F19:G19"/>
    <mergeCell ref="B9:C9"/>
    <mergeCell ref="F9:G9"/>
    <mergeCell ref="B10:C10"/>
    <mergeCell ref="F10:G10"/>
    <mergeCell ref="B11:C11"/>
    <mergeCell ref="F11:G11"/>
    <mergeCell ref="B6:C6"/>
    <mergeCell ref="F6:G6"/>
    <mergeCell ref="B7:C7"/>
    <mergeCell ref="F7:G7"/>
    <mergeCell ref="B8:C8"/>
    <mergeCell ref="F8:G8"/>
    <mergeCell ref="B5:C5"/>
    <mergeCell ref="F5:G5"/>
    <mergeCell ref="F1:G1"/>
    <mergeCell ref="C2:D2"/>
    <mergeCell ref="F3:G3"/>
    <mergeCell ref="B4:C4"/>
    <mergeCell ref="F4:G4"/>
  </mergeCells>
  <phoneticPr fontId="1"/>
  <pageMargins left="0.62992125984251968" right="0.21" top="0.70866141732283472" bottom="0.35433070866141736" header="0.47244094488188981" footer="0.31496062992125984"/>
  <pageSetup paperSize="9" scale="8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R08_国保税試算</vt:lpstr>
      <vt:lpstr>収入・所得の入力について</vt:lpstr>
      <vt:lpstr>□</vt:lpstr>
      <vt:lpstr>■</vt:lpstr>
      <vt:lpstr>■■</vt:lpstr>
      <vt:lpstr>■■■</vt:lpstr>
      <vt:lpstr>□!Print_Area</vt:lpstr>
      <vt:lpstr>'R08_国保税試算'!Print_Area</vt:lpstr>
      <vt:lpstr>収入・所得の入力について!Print_Area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IRWS3143</dc:creator>
  <cp:lastModifiedBy>KKWS0643</cp:lastModifiedBy>
  <cp:lastPrinted>2023-12-11T05:50:44Z</cp:lastPrinted>
  <dcterms:created xsi:type="dcterms:W3CDTF">2022-08-24T04:36:23Z</dcterms:created>
  <dcterms:modified xsi:type="dcterms:W3CDTF">2026-03-31T07:46:39Z</dcterms:modified>
</cp:coreProperties>
</file>